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620" tabRatio="888"/>
  </bookViews>
  <sheets>
    <sheet name="محاسبه یک نفرساعت شهریه " sheetId="19" r:id="rId1"/>
    <sheet name="حرف هاي پرتراكم" sheetId="13" state="hidden" r:id="rId2"/>
    <sheet name="sheet1" sheetId="15" state="hidden" r:id="rId3"/>
    <sheet name="چک نویس" sheetId="14" state="hidden" r:id="rId4"/>
  </sheets>
  <definedNames>
    <definedName name="_xlnm._FilterDatabase" localSheetId="0" hidden="1">'محاسبه یک نفرساعت شهریه '!$A$1:$R$48</definedName>
  </definedNames>
  <calcPr calcId="162913"/>
</workbook>
</file>

<file path=xl/calcChain.xml><?xml version="1.0" encoding="utf-8"?>
<calcChain xmlns="http://schemas.openxmlformats.org/spreadsheetml/2006/main">
  <c r="J4" i="19" l="1"/>
  <c r="J5" i="19" l="1"/>
  <c r="I5" i="19"/>
  <c r="D5" i="19"/>
  <c r="F5" i="19"/>
  <c r="G5" i="19"/>
  <c r="H5" i="19"/>
  <c r="K5" i="19"/>
  <c r="L5" i="19"/>
  <c r="O5" i="19"/>
  <c r="C5" i="19"/>
  <c r="P3" i="19"/>
  <c r="E4" i="19"/>
  <c r="E3" i="19"/>
  <c r="Q3" i="19" s="1"/>
  <c r="N5" i="19" l="1"/>
  <c r="E5" i="19"/>
  <c r="P4" i="19"/>
  <c r="R3" i="19"/>
  <c r="P5" i="19" l="1"/>
  <c r="Q4" i="19"/>
  <c r="Q5" i="19" s="1"/>
  <c r="Q22" i="14"/>
  <c r="Q13" i="14"/>
  <c r="Q12" i="14"/>
  <c r="Q14" i="14"/>
  <c r="Q15" i="14"/>
  <c r="Q16" i="14"/>
  <c r="Q17" i="14"/>
  <c r="Q18" i="14"/>
  <c r="Q19" i="14"/>
  <c r="Q20" i="14"/>
  <c r="Q21" i="14"/>
  <c r="Q4" i="14"/>
  <c r="Q5" i="14"/>
  <c r="Q6" i="14"/>
  <c r="Q7" i="14"/>
  <c r="Q8" i="14"/>
  <c r="Q9" i="14"/>
  <c r="Q10" i="14"/>
  <c r="Q11" i="14"/>
  <c r="Q3" i="14"/>
  <c r="P15" i="14"/>
  <c r="P16" i="14"/>
  <c r="P17" i="14"/>
  <c r="P18" i="14"/>
  <c r="P19" i="14"/>
  <c r="P20" i="14"/>
  <c r="P21" i="14"/>
  <c r="P14" i="14"/>
  <c r="O15" i="14"/>
  <c r="O16" i="14"/>
  <c r="O17" i="14"/>
  <c r="O18" i="14"/>
  <c r="O19" i="14"/>
  <c r="O20" i="14"/>
  <c r="O21" i="14"/>
  <c r="O14" i="14"/>
  <c r="R13" i="14"/>
  <c r="R12" i="14"/>
  <c r="R15" i="14"/>
  <c r="R16" i="14"/>
  <c r="R17" i="14"/>
  <c r="R18" i="14"/>
  <c r="R19" i="14"/>
  <c r="R20" i="14"/>
  <c r="R21" i="14"/>
  <c r="R22" i="14"/>
  <c r="R14" i="14"/>
  <c r="R4" i="14"/>
  <c r="R5" i="14"/>
  <c r="R6" i="14"/>
  <c r="R7" i="14"/>
  <c r="R8" i="14"/>
  <c r="R9" i="14"/>
  <c r="R10" i="14"/>
  <c r="R11" i="14"/>
  <c r="R3" i="14"/>
  <c r="P22" i="14"/>
  <c r="P13" i="14"/>
  <c r="P12" i="14"/>
  <c r="P10" i="14"/>
  <c r="P11" i="14"/>
  <c r="P4" i="14"/>
  <c r="P5" i="14"/>
  <c r="P6" i="14"/>
  <c r="P7" i="14"/>
  <c r="P8" i="14"/>
  <c r="P9" i="14"/>
  <c r="P3" i="14"/>
  <c r="O22" i="14"/>
  <c r="O10" i="14"/>
  <c r="O11" i="14"/>
  <c r="O12" i="14"/>
  <c r="O13" i="14"/>
  <c r="O4" i="14"/>
  <c r="O5" i="14"/>
  <c r="O6" i="14"/>
  <c r="O7" i="14"/>
  <c r="O8" i="14"/>
  <c r="O9" i="14"/>
  <c r="O3" i="14"/>
  <c r="S22" i="14"/>
  <c r="T22" i="14" s="1"/>
  <c r="N22" i="14"/>
  <c r="G22" i="14"/>
  <c r="F22" i="14"/>
  <c r="J22" i="14" s="1"/>
  <c r="S21" i="14"/>
  <c r="T21" i="14" s="1"/>
  <c r="N21" i="14"/>
  <c r="G21" i="14"/>
  <c r="F21" i="14"/>
  <c r="J21" i="14" s="1"/>
  <c r="S20" i="14"/>
  <c r="T20" i="14" s="1"/>
  <c r="N20" i="14"/>
  <c r="G20" i="14"/>
  <c r="F20" i="14"/>
  <c r="J20" i="14" s="1"/>
  <c r="S19" i="14"/>
  <c r="T19" i="14" s="1"/>
  <c r="N19" i="14"/>
  <c r="G19" i="14"/>
  <c r="F19" i="14"/>
  <c r="J19" i="14" s="1"/>
  <c r="S18" i="14"/>
  <c r="T18" i="14" s="1"/>
  <c r="N18" i="14"/>
  <c r="V18" i="14" s="1"/>
  <c r="G18" i="14"/>
  <c r="F18" i="14"/>
  <c r="J18" i="14" s="1"/>
  <c r="S17" i="14"/>
  <c r="T17" i="14" s="1"/>
  <c r="N17" i="14"/>
  <c r="V17" i="14" s="1"/>
  <c r="G17" i="14"/>
  <c r="F17" i="14"/>
  <c r="J17" i="14" s="1"/>
  <c r="S16" i="14"/>
  <c r="T16" i="14" s="1"/>
  <c r="N16" i="14"/>
  <c r="V16" i="14" s="1"/>
  <c r="G16" i="14"/>
  <c r="F16" i="14"/>
  <c r="J16" i="14" s="1"/>
  <c r="S15" i="14"/>
  <c r="T15" i="14" s="1"/>
  <c r="N15" i="14"/>
  <c r="G15" i="14"/>
  <c r="F15" i="14"/>
  <c r="S14" i="14"/>
  <c r="T14" i="14" s="1"/>
  <c r="N14" i="14"/>
  <c r="G14" i="14"/>
  <c r="F14" i="14"/>
  <c r="S13" i="14"/>
  <c r="T13" i="14" s="1"/>
  <c r="N13" i="14"/>
  <c r="H13" i="14"/>
  <c r="G13" i="14"/>
  <c r="F13" i="14"/>
  <c r="J13" i="14" s="1"/>
  <c r="S12" i="14"/>
  <c r="T12" i="14" s="1"/>
  <c r="N12" i="14"/>
  <c r="H12" i="14"/>
  <c r="G12" i="14"/>
  <c r="F12" i="14"/>
  <c r="J12" i="14" s="1"/>
  <c r="S11" i="14"/>
  <c r="T11" i="14" s="1"/>
  <c r="N11" i="14"/>
  <c r="H11" i="14"/>
  <c r="G11" i="14"/>
  <c r="F11" i="14"/>
  <c r="J11" i="14" s="1"/>
  <c r="S10" i="14"/>
  <c r="T10" i="14" s="1"/>
  <c r="N10" i="14"/>
  <c r="G10" i="14"/>
  <c r="F10" i="14"/>
  <c r="L10" i="14" s="1"/>
  <c r="S9" i="14"/>
  <c r="T9" i="14" s="1"/>
  <c r="N9" i="14"/>
  <c r="H9" i="14"/>
  <c r="G9" i="14"/>
  <c r="F9" i="14"/>
  <c r="S8" i="14"/>
  <c r="T8" i="14" s="1"/>
  <c r="N8" i="14"/>
  <c r="H8" i="14"/>
  <c r="G8" i="14"/>
  <c r="F8" i="14"/>
  <c r="S7" i="14"/>
  <c r="T7" i="14" s="1"/>
  <c r="N7" i="14"/>
  <c r="H7" i="14"/>
  <c r="G7" i="14"/>
  <c r="F7" i="14"/>
  <c r="S6" i="14"/>
  <c r="T6" i="14" s="1"/>
  <c r="N6" i="14"/>
  <c r="H6" i="14"/>
  <c r="G6" i="14"/>
  <c r="F6" i="14"/>
  <c r="S5" i="14"/>
  <c r="T5" i="14" s="1"/>
  <c r="N5" i="14"/>
  <c r="H5" i="14"/>
  <c r="G5" i="14"/>
  <c r="F5" i="14"/>
  <c r="S4" i="14"/>
  <c r="T4" i="14" s="1"/>
  <c r="N4" i="14"/>
  <c r="H4" i="14"/>
  <c r="G4" i="14"/>
  <c r="F4" i="14"/>
  <c r="S3" i="14"/>
  <c r="T3" i="14" s="1"/>
  <c r="N3" i="14"/>
  <c r="H3" i="14"/>
  <c r="G3" i="14"/>
  <c r="F3" i="14"/>
  <c r="S22" i="13"/>
  <c r="T22" i="13" s="1"/>
  <c r="R22" i="13"/>
  <c r="Q22" i="13"/>
  <c r="P22" i="13"/>
  <c r="O22" i="13"/>
  <c r="N22" i="13"/>
  <c r="G22" i="13"/>
  <c r="F22" i="13"/>
  <c r="S21" i="13"/>
  <c r="T21" i="13" s="1"/>
  <c r="R21" i="13"/>
  <c r="Q21" i="13"/>
  <c r="P21" i="13"/>
  <c r="O21" i="13"/>
  <c r="N21" i="13"/>
  <c r="G21" i="13"/>
  <c r="F21" i="13"/>
  <c r="S20" i="13"/>
  <c r="T20" i="13" s="1"/>
  <c r="R20" i="13"/>
  <c r="Q20" i="13"/>
  <c r="P20" i="13"/>
  <c r="O20" i="13"/>
  <c r="N20" i="13"/>
  <c r="G20" i="13"/>
  <c r="F20" i="13"/>
  <c r="S19" i="13"/>
  <c r="T19" i="13" s="1"/>
  <c r="R19" i="13"/>
  <c r="Q19" i="13"/>
  <c r="P19" i="13"/>
  <c r="O19" i="13"/>
  <c r="N19" i="13"/>
  <c r="G19" i="13"/>
  <c r="F19" i="13"/>
  <c r="S18" i="13"/>
  <c r="T18" i="13" s="1"/>
  <c r="R18" i="13"/>
  <c r="Q18" i="13"/>
  <c r="P18" i="13"/>
  <c r="O18" i="13"/>
  <c r="N18" i="13"/>
  <c r="G18" i="13"/>
  <c r="F18" i="13"/>
  <c r="J18" i="13" s="1"/>
  <c r="S17" i="13"/>
  <c r="T17" i="13" s="1"/>
  <c r="R17" i="13"/>
  <c r="Q17" i="13"/>
  <c r="P17" i="13"/>
  <c r="O17" i="13"/>
  <c r="N17" i="13"/>
  <c r="G17" i="13"/>
  <c r="F17" i="13"/>
  <c r="S16" i="13"/>
  <c r="T16" i="13" s="1"/>
  <c r="R16" i="13"/>
  <c r="Q16" i="13"/>
  <c r="P16" i="13"/>
  <c r="O16" i="13"/>
  <c r="N16" i="13"/>
  <c r="G16" i="13"/>
  <c r="F16" i="13"/>
  <c r="J16" i="13" s="1"/>
  <c r="S15" i="13"/>
  <c r="T15" i="13" s="1"/>
  <c r="R15" i="13"/>
  <c r="Q15" i="13"/>
  <c r="P15" i="13"/>
  <c r="O15" i="13"/>
  <c r="N15" i="13"/>
  <c r="G15" i="13"/>
  <c r="F15" i="13"/>
  <c r="S14" i="13"/>
  <c r="T14" i="13" s="1"/>
  <c r="R14" i="13"/>
  <c r="Q14" i="13"/>
  <c r="P14" i="13"/>
  <c r="O14" i="13"/>
  <c r="N14" i="13"/>
  <c r="G14" i="13"/>
  <c r="F14" i="13"/>
  <c r="S13" i="13"/>
  <c r="T13" i="13" s="1"/>
  <c r="R13" i="13"/>
  <c r="Q13" i="13"/>
  <c r="P13" i="13"/>
  <c r="O13" i="13"/>
  <c r="N13" i="13"/>
  <c r="H13" i="13"/>
  <c r="G13" i="13"/>
  <c r="F13" i="13"/>
  <c r="S12" i="13"/>
  <c r="T12" i="13" s="1"/>
  <c r="R12" i="13"/>
  <c r="Q12" i="13"/>
  <c r="P12" i="13"/>
  <c r="O12" i="13"/>
  <c r="N12" i="13"/>
  <c r="H12" i="13"/>
  <c r="G12" i="13"/>
  <c r="F12" i="13"/>
  <c r="S11" i="13"/>
  <c r="T11" i="13" s="1"/>
  <c r="R11" i="13"/>
  <c r="Q11" i="13"/>
  <c r="P11" i="13"/>
  <c r="O11" i="13"/>
  <c r="N11" i="13"/>
  <c r="H11" i="13"/>
  <c r="G11" i="13"/>
  <c r="F11" i="13"/>
  <c r="S10" i="13"/>
  <c r="T10" i="13" s="1"/>
  <c r="R10" i="13"/>
  <c r="Q10" i="13"/>
  <c r="P10" i="13"/>
  <c r="O10" i="13"/>
  <c r="N10" i="13"/>
  <c r="G10" i="13"/>
  <c r="F10" i="13"/>
  <c r="L10" i="13" s="1"/>
  <c r="S9" i="13"/>
  <c r="T9" i="13" s="1"/>
  <c r="R9" i="13"/>
  <c r="Q9" i="13"/>
  <c r="P9" i="13"/>
  <c r="O9" i="13"/>
  <c r="N9" i="13"/>
  <c r="H9" i="13"/>
  <c r="G9" i="13"/>
  <c r="F9" i="13"/>
  <c r="S8" i="13"/>
  <c r="T8" i="13" s="1"/>
  <c r="R8" i="13"/>
  <c r="Q8" i="13"/>
  <c r="P8" i="13"/>
  <c r="O8" i="13"/>
  <c r="N8" i="13"/>
  <c r="H8" i="13"/>
  <c r="G8" i="13"/>
  <c r="F8" i="13"/>
  <c r="S7" i="13"/>
  <c r="T7" i="13" s="1"/>
  <c r="R7" i="13"/>
  <c r="Q7" i="13"/>
  <c r="P7" i="13"/>
  <c r="O7" i="13"/>
  <c r="N7" i="13"/>
  <c r="H7" i="13"/>
  <c r="G7" i="13"/>
  <c r="F7" i="13"/>
  <c r="S6" i="13"/>
  <c r="T6" i="13" s="1"/>
  <c r="R6" i="13"/>
  <c r="Q6" i="13"/>
  <c r="P6" i="13"/>
  <c r="O6" i="13"/>
  <c r="N6" i="13"/>
  <c r="H6" i="13"/>
  <c r="G6" i="13"/>
  <c r="F6" i="13"/>
  <c r="S5" i="13"/>
  <c r="T5" i="13" s="1"/>
  <c r="R5" i="13"/>
  <c r="Q5" i="13"/>
  <c r="P5" i="13"/>
  <c r="O5" i="13"/>
  <c r="N5" i="13"/>
  <c r="H5" i="13"/>
  <c r="G5" i="13"/>
  <c r="F5" i="13"/>
  <c r="S4" i="13"/>
  <c r="T4" i="13" s="1"/>
  <c r="R4" i="13"/>
  <c r="Q4" i="13"/>
  <c r="P4" i="13"/>
  <c r="O4" i="13"/>
  <c r="N4" i="13"/>
  <c r="H4" i="13"/>
  <c r="G4" i="13"/>
  <c r="F4" i="13"/>
  <c r="J4" i="13" s="1"/>
  <c r="S3" i="13"/>
  <c r="T3" i="13" s="1"/>
  <c r="R3" i="13"/>
  <c r="Q3" i="13"/>
  <c r="P3" i="13"/>
  <c r="O3" i="13"/>
  <c r="N3" i="13"/>
  <c r="H3" i="13"/>
  <c r="G3" i="13"/>
  <c r="F3" i="13"/>
  <c r="J3" i="13" s="1"/>
  <c r="R4" i="19" l="1"/>
  <c r="V10" i="14"/>
  <c r="V12" i="14"/>
  <c r="V19" i="14"/>
  <c r="V11" i="14"/>
  <c r="V21" i="14"/>
  <c r="V8" i="14"/>
  <c r="V20" i="14"/>
  <c r="V3" i="14"/>
  <c r="V7" i="14"/>
  <c r="V22" i="14"/>
  <c r="V6" i="14"/>
  <c r="V5" i="14"/>
  <c r="V4" i="14"/>
  <c r="V14" i="13"/>
  <c r="V16" i="13"/>
  <c r="V18" i="13"/>
  <c r="V9" i="14"/>
  <c r="V13" i="14"/>
  <c r="V14" i="14"/>
  <c r="V15" i="14"/>
  <c r="J3" i="14"/>
  <c r="J4" i="14"/>
  <c r="J5" i="14"/>
  <c r="J6" i="14"/>
  <c r="J7" i="14"/>
  <c r="J8" i="14"/>
  <c r="J9" i="14"/>
  <c r="J10" i="14"/>
  <c r="AA10" i="14"/>
  <c r="AA11" i="14"/>
  <c r="J14" i="14"/>
  <c r="J15" i="14"/>
  <c r="L3" i="14"/>
  <c r="L4" i="14"/>
  <c r="L5" i="14"/>
  <c r="L6" i="14"/>
  <c r="L7" i="14"/>
  <c r="L8" i="14"/>
  <c r="L9" i="14"/>
  <c r="H10" i="14"/>
  <c r="L11" i="14"/>
  <c r="M11" i="14" s="1"/>
  <c r="L12" i="14"/>
  <c r="M12" i="14" s="1"/>
  <c r="L13" i="14"/>
  <c r="M13" i="14" s="1"/>
  <c r="H14" i="14"/>
  <c r="L14" i="14"/>
  <c r="H15" i="14"/>
  <c r="L15" i="14"/>
  <c r="H16" i="14"/>
  <c r="L16" i="14"/>
  <c r="H17" i="14"/>
  <c r="L17" i="14"/>
  <c r="H18" i="14"/>
  <c r="L18" i="14"/>
  <c r="H19" i="14"/>
  <c r="L19" i="14"/>
  <c r="H20" i="14"/>
  <c r="L20" i="14"/>
  <c r="H21" i="14"/>
  <c r="L21" i="14"/>
  <c r="H22" i="14"/>
  <c r="L22" i="14"/>
  <c r="V10" i="13"/>
  <c r="V12" i="13"/>
  <c r="V22" i="13"/>
  <c r="H22" i="13"/>
  <c r="J22" i="13"/>
  <c r="L22" i="13"/>
  <c r="J14" i="13"/>
  <c r="V11" i="13"/>
  <c r="V13" i="13"/>
  <c r="V20" i="13"/>
  <c r="V21" i="13"/>
  <c r="H21" i="13"/>
  <c r="J21" i="13"/>
  <c r="L21" i="13"/>
  <c r="H20" i="13"/>
  <c r="J20" i="13"/>
  <c r="L20" i="13"/>
  <c r="V19" i="13"/>
  <c r="L18" i="13"/>
  <c r="H19" i="13"/>
  <c r="J19" i="13"/>
  <c r="H18" i="13"/>
  <c r="L19" i="13"/>
  <c r="V15" i="13"/>
  <c r="V17" i="13"/>
  <c r="L14" i="13"/>
  <c r="H15" i="13"/>
  <c r="J15" i="13"/>
  <c r="L16" i="13"/>
  <c r="H17" i="13"/>
  <c r="J17" i="13"/>
  <c r="H14" i="13"/>
  <c r="L15" i="13"/>
  <c r="H16" i="13"/>
  <c r="L17" i="13"/>
  <c r="L12" i="13"/>
  <c r="J13" i="13"/>
  <c r="J12" i="13"/>
  <c r="L13" i="13"/>
  <c r="V3" i="13"/>
  <c r="J11" i="13"/>
  <c r="L11" i="13"/>
  <c r="J10" i="13"/>
  <c r="V6" i="13"/>
  <c r="V8" i="13"/>
  <c r="H10" i="13"/>
  <c r="V9" i="13"/>
  <c r="J8" i="13"/>
  <c r="J9" i="13"/>
  <c r="L8" i="13"/>
  <c r="L9" i="13"/>
  <c r="V7" i="13"/>
  <c r="J6" i="13"/>
  <c r="J7" i="13"/>
  <c r="L6" i="13"/>
  <c r="L7" i="13"/>
  <c r="V5" i="13"/>
  <c r="J5" i="13"/>
  <c r="L5" i="13"/>
  <c r="V4" i="13"/>
  <c r="L3" i="13"/>
  <c r="M3" i="13" s="1"/>
  <c r="L4" i="13"/>
  <c r="M4" i="13" s="1"/>
  <c r="R5" i="19" l="1"/>
  <c r="M7" i="14"/>
  <c r="M13" i="13"/>
  <c r="M9" i="14"/>
  <c r="M12" i="13"/>
  <c r="W12" i="13" s="1"/>
  <c r="X12" i="13" s="1"/>
  <c r="Y12" i="13" s="1"/>
  <c r="AA12" i="13" s="1"/>
  <c r="M4" i="14"/>
  <c r="M8" i="14"/>
  <c r="W8" i="14" s="1"/>
  <c r="X8" i="14" s="1"/>
  <c r="Y8" i="14" s="1"/>
  <c r="M10" i="14"/>
  <c r="W10" i="14" s="1"/>
  <c r="X10" i="14" s="1"/>
  <c r="Y10" i="14" s="1"/>
  <c r="AB10" i="14" s="1"/>
  <c r="AC10" i="14" s="1"/>
  <c r="M6" i="14"/>
  <c r="W6" i="14" s="1"/>
  <c r="X6" i="14" s="1"/>
  <c r="Y6" i="14" s="1"/>
  <c r="M5" i="14"/>
  <c r="W5" i="14" s="1"/>
  <c r="X5" i="14" s="1"/>
  <c r="Y5" i="14" s="1"/>
  <c r="M3" i="14"/>
  <c r="W3" i="14" s="1"/>
  <c r="X3" i="14" s="1"/>
  <c r="Y3" i="14" s="1"/>
  <c r="M10" i="13"/>
  <c r="W10" i="13" s="1"/>
  <c r="X10" i="13" s="1"/>
  <c r="Y10" i="13" s="1"/>
  <c r="M20" i="13"/>
  <c r="W20" i="13" s="1"/>
  <c r="X20" i="13" s="1"/>
  <c r="Y20" i="13" s="1"/>
  <c r="AA20" i="13" s="1"/>
  <c r="W4" i="14"/>
  <c r="X4" i="14" s="1"/>
  <c r="Y4" i="14" s="1"/>
  <c r="W7" i="14"/>
  <c r="X7" i="14" s="1"/>
  <c r="Y7" i="14" s="1"/>
  <c r="W13" i="14"/>
  <c r="X13" i="14" s="1"/>
  <c r="Y13" i="14" s="1"/>
  <c r="W11" i="14"/>
  <c r="X11" i="14" s="1"/>
  <c r="Y11" i="14" s="1"/>
  <c r="AB11" i="14" s="1"/>
  <c r="AC11" i="14" s="1"/>
  <c r="M22" i="14"/>
  <c r="M21" i="14"/>
  <c r="M20" i="14"/>
  <c r="M19" i="14"/>
  <c r="M18" i="14"/>
  <c r="M17" i="14"/>
  <c r="M16" i="14"/>
  <c r="M15" i="14"/>
  <c r="M14" i="14"/>
  <c r="W12" i="14"/>
  <c r="X12" i="14" s="1"/>
  <c r="Y12" i="14" s="1"/>
  <c r="W9" i="14"/>
  <c r="X9" i="14" s="1"/>
  <c r="Y9" i="14" s="1"/>
  <c r="M22" i="13"/>
  <c r="M21" i="13"/>
  <c r="W21" i="13" s="1"/>
  <c r="M18" i="13"/>
  <c r="M19" i="13"/>
  <c r="M16" i="13"/>
  <c r="M14" i="13"/>
  <c r="M17" i="13"/>
  <c r="M15" i="13"/>
  <c r="W13" i="13"/>
  <c r="X13" i="13" s="1"/>
  <c r="Y13" i="13" s="1"/>
  <c r="AA13" i="13" s="1"/>
  <c r="M11" i="13"/>
  <c r="W11" i="13" s="1"/>
  <c r="X11" i="13" s="1"/>
  <c r="Y11" i="13" s="1"/>
  <c r="M6" i="13"/>
  <c r="W6" i="13" s="1"/>
  <c r="X6" i="13" s="1"/>
  <c r="Y6" i="13" s="1"/>
  <c r="AA6" i="13" s="1"/>
  <c r="M9" i="13"/>
  <c r="W9" i="13" s="1"/>
  <c r="X9" i="13" s="1"/>
  <c r="Y9" i="13" s="1"/>
  <c r="AA9" i="13" s="1"/>
  <c r="M5" i="13"/>
  <c r="M7" i="13"/>
  <c r="W7" i="13" s="1"/>
  <c r="X7" i="13" s="1"/>
  <c r="Y7" i="13" s="1"/>
  <c r="AA7" i="13" s="1"/>
  <c r="M8" i="13"/>
  <c r="W8" i="13" s="1"/>
  <c r="X8" i="13" s="1"/>
  <c r="Y8" i="13" s="1"/>
  <c r="AA8" i="13" s="1"/>
  <c r="W5" i="13"/>
  <c r="X5" i="13" s="1"/>
  <c r="Y5" i="13" s="1"/>
  <c r="AA5" i="13" s="1"/>
  <c r="W4" i="13"/>
  <c r="X4" i="13" s="1"/>
  <c r="Y4" i="13" s="1"/>
  <c r="AA4" i="13" s="1"/>
  <c r="W3" i="13"/>
  <c r="X3" i="13" s="1"/>
  <c r="Y3" i="13" s="1"/>
  <c r="AA3" i="13" s="1"/>
  <c r="AA10" i="13" l="1"/>
  <c r="AB10" i="13" s="1"/>
  <c r="AA11" i="13"/>
  <c r="AB11" i="13" s="1"/>
  <c r="AB9" i="14"/>
  <c r="AC9" i="14" s="1"/>
  <c r="AA9" i="14"/>
  <c r="AB12" i="14"/>
  <c r="AC12" i="14" s="1"/>
  <c r="AA12" i="14"/>
  <c r="W14" i="14"/>
  <c r="X14" i="14" s="1"/>
  <c r="Y14" i="14" s="1"/>
  <c r="W16" i="14"/>
  <c r="X16" i="14"/>
  <c r="Y16" i="14" s="1"/>
  <c r="W18" i="14"/>
  <c r="X18" i="14" s="1"/>
  <c r="Y18" i="14" s="1"/>
  <c r="W20" i="14"/>
  <c r="X20" i="14" s="1"/>
  <c r="Y20" i="14" s="1"/>
  <c r="W22" i="14"/>
  <c r="X22" i="14" s="1"/>
  <c r="Y22" i="14" s="1"/>
  <c r="W15" i="14"/>
  <c r="X15" i="14" s="1"/>
  <c r="Y15" i="14" s="1"/>
  <c r="W17" i="14"/>
  <c r="X17" i="14" s="1"/>
  <c r="Y17" i="14" s="1"/>
  <c r="W19" i="14"/>
  <c r="X19" i="14" s="1"/>
  <c r="Y19" i="14" s="1"/>
  <c r="W21" i="14"/>
  <c r="X21" i="14"/>
  <c r="Y21" i="14" s="1"/>
  <c r="AB13" i="14"/>
  <c r="AC13" i="14" s="1"/>
  <c r="AA13" i="14"/>
  <c r="AB7" i="14"/>
  <c r="AC7" i="14" s="1"/>
  <c r="AA7" i="14"/>
  <c r="AB3" i="14"/>
  <c r="AC3" i="14" s="1"/>
  <c r="AA3" i="14"/>
  <c r="AB5" i="14"/>
  <c r="AC5" i="14" s="1"/>
  <c r="AA5" i="14"/>
  <c r="AB4" i="14"/>
  <c r="AC4" i="14" s="1"/>
  <c r="AA4" i="14"/>
  <c r="AB6" i="14"/>
  <c r="AC6" i="14" s="1"/>
  <c r="AA6" i="14"/>
  <c r="AB8" i="14"/>
  <c r="AC8" i="14" s="1"/>
  <c r="AA8" i="14"/>
  <c r="W22" i="13"/>
  <c r="X22" i="13" s="1"/>
  <c r="Y22" i="13" s="1"/>
  <c r="AA22" i="13" s="1"/>
  <c r="X21" i="13"/>
  <c r="Y21" i="13" s="1"/>
  <c r="AB20" i="13"/>
  <c r="W18" i="13"/>
  <c r="X18" i="13" s="1"/>
  <c r="Y18" i="13" s="1"/>
  <c r="AA18" i="13" s="1"/>
  <c r="W19" i="13"/>
  <c r="X19" i="13" s="1"/>
  <c r="Y19" i="13" s="1"/>
  <c r="AA19" i="13" s="1"/>
  <c r="W17" i="13"/>
  <c r="X17" i="13" s="1"/>
  <c r="Y17" i="13" s="1"/>
  <c r="AA17" i="13" s="1"/>
  <c r="W16" i="13"/>
  <c r="X16" i="13" s="1"/>
  <c r="Y16" i="13" s="1"/>
  <c r="AA16" i="13" s="1"/>
  <c r="W15" i="13"/>
  <c r="X15" i="13" s="1"/>
  <c r="Y15" i="13" s="1"/>
  <c r="AA15" i="13" s="1"/>
  <c r="W14" i="13"/>
  <c r="X14" i="13" s="1"/>
  <c r="Y14" i="13" s="1"/>
  <c r="AA14" i="13" s="1"/>
  <c r="AB12" i="13"/>
  <c r="AB13" i="13"/>
  <c r="AB9" i="13"/>
  <c r="AB8" i="13"/>
  <c r="AB7" i="13"/>
  <c r="AB6" i="13"/>
  <c r="AB5" i="13"/>
  <c r="AB4" i="13"/>
  <c r="AB3" i="13"/>
  <c r="AA21" i="13" l="1"/>
  <c r="AB21" i="13" s="1"/>
  <c r="AB21" i="14"/>
  <c r="AC21" i="14" s="1"/>
  <c r="AA21" i="14"/>
  <c r="AB19" i="14"/>
  <c r="AC19" i="14" s="1"/>
  <c r="AA19" i="14"/>
  <c r="AB17" i="14"/>
  <c r="AC17" i="14" s="1"/>
  <c r="AA17" i="14"/>
  <c r="AB15" i="14"/>
  <c r="AC15" i="14" s="1"/>
  <c r="AA15" i="14"/>
  <c r="AB22" i="14"/>
  <c r="AC22" i="14" s="1"/>
  <c r="AA22" i="14"/>
  <c r="AB20" i="14"/>
  <c r="AC20" i="14" s="1"/>
  <c r="AA20" i="14"/>
  <c r="AB18" i="14"/>
  <c r="AC18" i="14" s="1"/>
  <c r="AA18" i="14"/>
  <c r="AB16" i="14"/>
  <c r="AC16" i="14" s="1"/>
  <c r="AA16" i="14"/>
  <c r="AB14" i="14"/>
  <c r="AC14" i="14" s="1"/>
  <c r="AA14" i="14"/>
  <c r="AB22" i="13"/>
  <c r="AB18" i="13"/>
  <c r="AB19" i="13"/>
  <c r="AB16" i="13"/>
  <c r="AB14" i="13"/>
  <c r="AB15" i="13"/>
  <c r="AB17" i="13"/>
</calcChain>
</file>

<file path=xl/sharedStrings.xml><?xml version="1.0" encoding="utf-8"?>
<sst xmlns="http://schemas.openxmlformats.org/spreadsheetml/2006/main" count="197" uniqueCount="101">
  <si>
    <t>نام دوره آموزشی</t>
  </si>
  <si>
    <t>ساعت استاندارد</t>
  </si>
  <si>
    <t>هزینه های مستقیم</t>
  </si>
  <si>
    <t>هزینه های غیر مستقیم</t>
  </si>
  <si>
    <t>حقوق مدیر</t>
  </si>
  <si>
    <t>بیمه مدیر</t>
  </si>
  <si>
    <t xml:space="preserve">مجموع ظرفیت </t>
  </si>
  <si>
    <t>تعمیر و نگهداری</t>
  </si>
  <si>
    <t xml:space="preserve">هزینه مواد مصرفی
</t>
  </si>
  <si>
    <t xml:space="preserve">مجموع نفر ساعت 
</t>
  </si>
  <si>
    <t>اجاره بها</t>
  </si>
  <si>
    <t xml:space="preserve"> استهلاک تجهیزات</t>
  </si>
  <si>
    <t xml:space="preserve"> آب</t>
  </si>
  <si>
    <t xml:space="preserve"> برق</t>
  </si>
  <si>
    <t>سوخت</t>
  </si>
  <si>
    <t xml:space="preserve"> تلفن</t>
  </si>
  <si>
    <t>کد استاندارد</t>
  </si>
  <si>
    <t>3-42/24/1/0/3</t>
  </si>
  <si>
    <t>3-42/24/1/4</t>
  </si>
  <si>
    <t>1-61/49/1/2</t>
  </si>
  <si>
    <t>3-42/15/2/4</t>
  </si>
  <si>
    <t>3-42/24/1/5/2</t>
  </si>
  <si>
    <t>طراح گرافيك رايانه اي</t>
  </si>
  <si>
    <t>حق التدریس مربی 
(به ازاء هر ساعت)</t>
  </si>
  <si>
    <t>رايانه كار حسابدار مالي</t>
  </si>
  <si>
    <t>تئوری</t>
  </si>
  <si>
    <t>عملی</t>
  </si>
  <si>
    <t>جمع</t>
  </si>
  <si>
    <t>رايانه كارICDLدرجه1</t>
  </si>
  <si>
    <t>3/42/15/1/4</t>
  </si>
  <si>
    <t>رايانه كارICDLدرجه2</t>
  </si>
  <si>
    <t>2513/81</t>
  </si>
  <si>
    <t>شهروند الكترونيكيE- CITIZEN</t>
  </si>
  <si>
    <t>كاربر رايانه</t>
  </si>
  <si>
    <t>كاربر نرم افزار اداري</t>
  </si>
  <si>
    <t xml:space="preserve">حق التدریس مربی
(برای این دوره) 
</t>
  </si>
  <si>
    <t>5/ 2/ 15/ 10- 1</t>
  </si>
  <si>
    <t xml:space="preserve">حسابدار عمومی مقدماتی </t>
  </si>
  <si>
    <r>
      <t>تعرفه یک
 نفر ساعت
(</t>
    </r>
    <r>
      <rPr>
        <sz val="11"/>
        <color rgb="FFFF0000"/>
        <rFont val="B Koodak"/>
        <charset val="178"/>
      </rPr>
      <t>ریال</t>
    </r>
    <r>
      <rPr>
        <sz val="11"/>
        <color theme="1"/>
        <rFont val="B Koodak"/>
        <charset val="178"/>
      </rPr>
      <t>)</t>
    </r>
  </si>
  <si>
    <r>
      <t>میزان تغییر
(</t>
    </r>
    <r>
      <rPr>
        <sz val="11"/>
        <color rgb="FFFF0000"/>
        <rFont val="B Koodak"/>
        <charset val="178"/>
      </rPr>
      <t>ریال</t>
    </r>
    <r>
      <rPr>
        <sz val="11"/>
        <color theme="1"/>
        <rFont val="B Koodak"/>
        <charset val="178"/>
      </rPr>
      <t>)</t>
    </r>
  </si>
  <si>
    <r>
      <t>سود سرمایه
(</t>
    </r>
    <r>
      <rPr>
        <sz val="11"/>
        <color rgb="FFFF0000"/>
        <rFont val="B Koodak"/>
        <charset val="178"/>
      </rPr>
      <t>ریال</t>
    </r>
    <r>
      <rPr>
        <sz val="11"/>
        <color theme="0"/>
        <rFont val="B Koodak"/>
        <charset val="178"/>
      </rPr>
      <t>)</t>
    </r>
  </si>
  <si>
    <r>
      <t>نفر ساعت 
هزینه های غیر مستقیم
(</t>
    </r>
    <r>
      <rPr>
        <sz val="11"/>
        <color rgb="FFFF0000"/>
        <rFont val="B Koodak"/>
        <charset val="178"/>
      </rPr>
      <t>ریال</t>
    </r>
    <r>
      <rPr>
        <sz val="11"/>
        <color theme="0"/>
        <rFont val="B Koodak"/>
        <charset val="178"/>
      </rPr>
      <t>)</t>
    </r>
  </si>
  <si>
    <r>
      <t>نفر ساعت 
هزینه های مستقیم
(</t>
    </r>
    <r>
      <rPr>
        <sz val="11"/>
        <color rgb="FFFF0000"/>
        <rFont val="B Koodak"/>
        <charset val="178"/>
      </rPr>
      <t>ریال</t>
    </r>
    <r>
      <rPr>
        <sz val="11"/>
        <color theme="0"/>
        <rFont val="B Koodak"/>
        <charset val="178"/>
      </rPr>
      <t>)</t>
    </r>
  </si>
  <si>
    <t>7-91/41/2/4</t>
  </si>
  <si>
    <t xml:space="preserve">نازک دوز زنانه </t>
  </si>
  <si>
    <t>7-91/40/1/1</t>
  </si>
  <si>
    <t>مانتو دوز</t>
  </si>
  <si>
    <t>۵-٧٠/36/١/١</t>
  </si>
  <si>
    <t>متعادل سازی چهره زنانه</t>
  </si>
  <si>
    <t>۵-٧٠/٣٣/١/1</t>
  </si>
  <si>
    <t>کاربر مواد و محصولات  شیمیایی در آرایش زنانه</t>
  </si>
  <si>
    <t>۵-٧٠/٣١/١/1</t>
  </si>
  <si>
    <t>پیرایشگر موی زنانه</t>
  </si>
  <si>
    <t>4/ 2/ 30/ 70- 5</t>
  </si>
  <si>
    <t>پیرایشگر مردانه درجه 2</t>
  </si>
  <si>
    <t>۵-٧٠/٣٢/١/١</t>
  </si>
  <si>
    <t>پیرایشگر ابرو و صورت زنانه</t>
  </si>
  <si>
    <t>۵-٧٠/٢٣/١/3</t>
  </si>
  <si>
    <t>آرایش و پیرایش زنانه</t>
  </si>
  <si>
    <t>۵-٧٠/٣۵/١/1</t>
  </si>
  <si>
    <t>آرایشگر ناخن</t>
  </si>
  <si>
    <t>۵-٧٠/٣۴/١/ ١</t>
  </si>
  <si>
    <t>آرایشگر موی زنانه</t>
  </si>
  <si>
    <t>7-54/57/2/3</t>
  </si>
  <si>
    <t>قالی باف درجه2</t>
  </si>
  <si>
    <t xml:space="preserve">نقشه کش عمومی ساختمان </t>
  </si>
  <si>
    <t>4/ 2/ 54/ 32- 0</t>
  </si>
  <si>
    <r>
      <t>شهریه سال94
(</t>
    </r>
    <r>
      <rPr>
        <sz val="11"/>
        <color rgb="FFFF0000"/>
        <rFont val="B Koodak"/>
        <charset val="178"/>
      </rPr>
      <t>ریال</t>
    </r>
    <r>
      <rPr>
        <sz val="11"/>
        <color theme="1"/>
        <rFont val="B Koodak"/>
        <charset val="178"/>
      </rPr>
      <t>)</t>
    </r>
  </si>
  <si>
    <r>
      <t>شهریه سال95
(</t>
    </r>
    <r>
      <rPr>
        <sz val="11"/>
        <color rgb="FFFF0000"/>
        <rFont val="B Koodak"/>
        <charset val="178"/>
      </rPr>
      <t>ریال</t>
    </r>
    <r>
      <rPr>
        <sz val="11"/>
        <color theme="1"/>
        <rFont val="B Koodak"/>
        <charset val="178"/>
      </rPr>
      <t>)</t>
    </r>
  </si>
  <si>
    <t>درصد تغییر شهریه سال 95
 نسبت به سال 94</t>
  </si>
  <si>
    <t>رديف</t>
  </si>
  <si>
    <t xml:space="preserve">نرخ رشد مصوب هیات نظارت </t>
  </si>
  <si>
    <t>جهت پوشش icdl1  و شهروند الكترنيكي حق التدريس مربي غير واقعي لحاظ شد</t>
  </si>
  <si>
    <t xml:space="preserve">نوع خدمت </t>
  </si>
  <si>
    <t xml:space="preserve">هزینه های سربار </t>
  </si>
  <si>
    <t xml:space="preserve">تعمیر ونگهداری تجهیزات </t>
  </si>
  <si>
    <t>استهلاک تجهیزات</t>
  </si>
  <si>
    <t xml:space="preserve">هزینه های حقوق کارکنان ستادی </t>
  </si>
  <si>
    <t xml:space="preserve">دانشی </t>
  </si>
  <si>
    <t xml:space="preserve">عملی </t>
  </si>
  <si>
    <t xml:space="preserve">هزینه اجاره محل </t>
  </si>
  <si>
    <t>سود سرمایه
(ریال)</t>
  </si>
  <si>
    <t>تعرفه یک
 نفر ساعت
(ریال)</t>
  </si>
  <si>
    <t>نفر ساعت 
هزینه های غیر مستقیم
(ریال)</t>
  </si>
  <si>
    <t xml:space="preserve">هزینه بیمه های اجتماعی </t>
  </si>
  <si>
    <t xml:space="preserve">هزینه بیمه های مسئولیت وحوادث </t>
  </si>
  <si>
    <t>نفرساعت 
هزینه های مستقیم
(ریال)</t>
  </si>
  <si>
    <t xml:space="preserve">هزینه های مستقیم </t>
  </si>
  <si>
    <t xml:space="preserve">مجموع </t>
  </si>
  <si>
    <t xml:space="preserve"> تلفن و اینترنت </t>
  </si>
  <si>
    <t>هزینه مصرف انرژی        (آب ، برق،گاز)</t>
  </si>
  <si>
    <t xml:space="preserve">هزینه بازاریابی و تبلیغات </t>
  </si>
  <si>
    <t>محاسبه هزینه های مستقیم :</t>
  </si>
  <si>
    <t>تذکر2: محاسبه هزینه موادمصرفی لحاظ ظرفیت هریک کارگاه 8 نفرمحاسبه گردد .</t>
  </si>
  <si>
    <t>محاسبه هزینه های سربار( غیرمستقیم) :</t>
  </si>
  <si>
    <t xml:space="preserve">تذکر3: در محاسبه نرخ شهریه هزینه یک نفرساعت آموزش دانش معادل 25% وهزینه آموزش عملی 75% نرخ کل محاسبه شود . </t>
  </si>
  <si>
    <t>تذکر 4:هزینه ها بصورت ماهیانه وبراساس آمایش سرزمینی منطقه / شهرمحاسبه واعمال گردد .</t>
  </si>
  <si>
    <t xml:space="preserve">تذکر5: ظرفیت اسمی مبنای محاسبه هرآموزشگاه با حداقل 20 دوره آموزشی درسال وباظرفیت هردوره آموزشی 8 نفر محاسبه شود </t>
  </si>
  <si>
    <t>تذکر6:</t>
  </si>
  <si>
    <t xml:space="preserve">اعداد برای نمونه هستند در محاسبه اعداد واقعی لحاظ گردد </t>
  </si>
  <si>
    <t xml:space="preserve">تذکر1: درمحاسبه حق التدریس یک نفرساعت مربی ، مبنای محاسبه نرخ حق التدریس یک ساعت مربی (بالحاظ سطوح چهارگانه مربیان (پس از تصویب دستورالعمل های مربوطه )/در حال حاضر  ضوابط فعلی  مد نظر قرار گیرد ) ) بخش برظرفیت یک کارگاه با هشت نفرکارآموز محاسبه گردد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</si>
</sst>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  <charset val="178"/>
      <scheme val="minor"/>
    </font>
    <font>
      <sz val="11"/>
      <color theme="1"/>
      <name val="B Koodak"/>
      <charset val="178"/>
    </font>
    <font>
      <sz val="11"/>
      <color theme="0" tint="-4.9989318521683403E-2"/>
      <name val="B Koodak"/>
      <charset val="178"/>
    </font>
    <font>
      <sz val="11"/>
      <color theme="0"/>
      <name val="B Koodak"/>
      <charset val="178"/>
    </font>
    <font>
      <sz val="11"/>
      <color rgb="FFFF0000"/>
      <name val="B Koodak"/>
      <charset val="178"/>
    </font>
    <font>
      <sz val="11"/>
      <name val="B Koodak"/>
      <charset val="178"/>
    </font>
    <font>
      <sz val="11"/>
      <color rgb="FF002060"/>
      <name val="B Koodak"/>
      <charset val="178"/>
    </font>
    <font>
      <sz val="11"/>
      <color rgb="FF00B050"/>
      <name val="B Koodak"/>
      <charset val="178"/>
    </font>
    <font>
      <sz val="14"/>
      <color rgb="FF00B050"/>
      <name val="B Koodak"/>
      <charset val="178"/>
    </font>
    <font>
      <sz val="11"/>
      <color theme="3" tint="0.39997558519241921"/>
      <name val="B Koodak"/>
      <charset val="178"/>
    </font>
    <font>
      <sz val="14"/>
      <color theme="3" tint="0.39997558519241921"/>
      <name val="B Koodak"/>
      <charset val="178"/>
    </font>
    <font>
      <sz val="11"/>
      <color rgb="FF7030A0"/>
      <name val="B Koodak"/>
      <charset val="178"/>
    </font>
    <font>
      <sz val="10"/>
      <color rgb="FFFF0000"/>
      <name val="B Koodak"/>
      <charset val="178"/>
    </font>
    <font>
      <sz val="9"/>
      <color theme="1"/>
      <name val="B Koodak"/>
      <charset val="178"/>
    </font>
    <font>
      <b/>
      <sz val="12"/>
      <color theme="8" tint="-0.499984740745262"/>
      <name val="B Koodak"/>
      <charset val="178"/>
    </font>
    <font>
      <b/>
      <sz val="14"/>
      <color theme="8" tint="-0.499984740745262"/>
      <name val="B Nazanin"/>
      <charset val="178"/>
    </font>
    <font>
      <b/>
      <sz val="12"/>
      <color rgb="FFFF0000"/>
      <name val="B Koodak"/>
      <charset val="178"/>
    </font>
    <font>
      <b/>
      <sz val="14"/>
      <color rgb="FFFF0000"/>
      <name val="B Nazanin"/>
      <charset val="178"/>
    </font>
    <font>
      <sz val="12"/>
      <color rgb="FFC00000"/>
      <name val="B Nazanin"/>
      <charset val="178"/>
    </font>
    <font>
      <b/>
      <sz val="14"/>
      <color theme="1"/>
      <name val="B Koodak"/>
      <charset val="178"/>
    </font>
    <font>
      <sz val="14"/>
      <color theme="1"/>
      <name val="B Koodak"/>
      <charset val="178"/>
    </font>
    <font>
      <b/>
      <sz val="8"/>
      <color theme="1"/>
      <name val="B Koodak"/>
      <charset val="178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9" tint="-0.499984740745262"/>
      </left>
      <right style="hair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hair">
        <color theme="9" tint="-0.499984740745262"/>
      </right>
      <top style="thin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thin">
        <color theme="9" tint="-0.499984740745262"/>
      </top>
      <bottom/>
      <diagonal/>
    </border>
    <border>
      <left style="hair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 readingOrder="2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readingOrder="2"/>
    </xf>
    <xf numFmtId="3" fontId="7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 readingOrder="2"/>
    </xf>
    <xf numFmtId="3" fontId="9" fillId="0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readingOrder="1"/>
    </xf>
    <xf numFmtId="0" fontId="11" fillId="0" borderId="0" xfId="0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 readingOrder="2"/>
    </xf>
    <xf numFmtId="0" fontId="7" fillId="0" borderId="0" xfId="0" applyFont="1" applyAlignment="1">
      <alignment horizontal="center"/>
    </xf>
    <xf numFmtId="3" fontId="11" fillId="7" borderId="0" xfId="0" applyNumberFormat="1" applyFont="1" applyFill="1" applyAlignment="1">
      <alignment horizontal="center"/>
    </xf>
    <xf numFmtId="0" fontId="0" fillId="0" borderId="0" xfId="0" applyFill="1"/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8" fillId="10" borderId="3" xfId="0" applyFont="1" applyFill="1" applyBorder="1" applyAlignment="1">
      <alignment horizontal="center" vertical="center" textRotation="90"/>
    </xf>
    <xf numFmtId="0" fontId="18" fillId="10" borderId="10" xfId="0" applyFont="1" applyFill="1" applyBorder="1" applyAlignment="1">
      <alignment horizontal="center" vertical="center" textRotation="90"/>
    </xf>
    <xf numFmtId="0" fontId="18" fillId="10" borderId="5" xfId="0" applyFont="1" applyFill="1" applyBorder="1" applyAlignment="1">
      <alignment horizontal="center" vertical="center" textRotation="90" wrapText="1"/>
    </xf>
    <xf numFmtId="3" fontId="17" fillId="8" borderId="13" xfId="0" applyNumberFormat="1" applyFont="1" applyFill="1" applyBorder="1" applyAlignment="1">
      <alignment horizontal="right" vertical="center" indent="1"/>
    </xf>
    <xf numFmtId="3" fontId="17" fillId="8" borderId="14" xfId="0" applyNumberFormat="1" applyFont="1" applyFill="1" applyBorder="1" applyAlignment="1">
      <alignment horizontal="right" vertical="center" indent="1"/>
    </xf>
    <xf numFmtId="3" fontId="16" fillId="8" borderId="12" xfId="0" applyNumberFormat="1" applyFont="1" applyFill="1" applyBorder="1" applyAlignment="1">
      <alignment horizontal="center" vertical="center" textRotation="90"/>
    </xf>
    <xf numFmtId="3" fontId="17" fillId="9" borderId="13" xfId="0" applyNumberFormat="1" applyFont="1" applyFill="1" applyBorder="1" applyAlignment="1">
      <alignment horizontal="center" vertical="center" textRotation="90"/>
    </xf>
    <xf numFmtId="0" fontId="12" fillId="11" borderId="0" xfId="0" applyFont="1" applyFill="1"/>
    <xf numFmtId="3" fontId="14" fillId="8" borderId="15" xfId="0" applyNumberFormat="1" applyFont="1" applyFill="1" applyBorder="1" applyAlignment="1">
      <alignment horizontal="center" vertical="center" textRotation="90"/>
    </xf>
    <xf numFmtId="3" fontId="15" fillId="9" borderId="16" xfId="0" applyNumberFormat="1" applyFont="1" applyFill="1" applyBorder="1" applyAlignment="1">
      <alignment horizontal="center" vertical="center" textRotation="90"/>
    </xf>
    <xf numFmtId="3" fontId="15" fillId="8" borderId="16" xfId="0" applyNumberFormat="1" applyFont="1" applyFill="1" applyBorder="1" applyAlignment="1">
      <alignment horizontal="right" vertical="center" indent="1"/>
    </xf>
    <xf numFmtId="3" fontId="15" fillId="8" borderId="17" xfId="0" applyNumberFormat="1" applyFont="1" applyFill="1" applyBorder="1" applyAlignment="1">
      <alignment horizontal="right" vertical="center" indent="1"/>
    </xf>
    <xf numFmtId="3" fontId="12" fillId="8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3" fontId="19" fillId="12" borderId="0" xfId="0" applyNumberFormat="1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/>
    </xf>
    <xf numFmtId="3" fontId="19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right" vertical="center"/>
    </xf>
    <xf numFmtId="0" fontId="19" fillId="12" borderId="0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9" fillId="0" borderId="0" xfId="0" applyNumberFormat="1" applyFont="1" applyFill="1" applyAlignment="1">
      <alignment horizontal="right" vertical="center"/>
    </xf>
    <xf numFmtId="0" fontId="18" fillId="10" borderId="9" xfId="0" applyFont="1" applyFill="1" applyBorder="1" applyAlignment="1">
      <alignment horizontal="center" vertical="center" textRotation="90"/>
    </xf>
    <xf numFmtId="0" fontId="18" fillId="10" borderId="11" xfId="0" applyFont="1" applyFill="1" applyBorder="1" applyAlignment="1">
      <alignment horizontal="center" vertical="center" textRotation="90"/>
    </xf>
    <xf numFmtId="0" fontId="18" fillId="10" borderId="3" xfId="0" applyFont="1" applyFill="1" applyBorder="1" applyAlignment="1">
      <alignment horizontal="right" vertical="center" indent="1"/>
    </xf>
    <xf numFmtId="0" fontId="18" fillId="10" borderId="4" xfId="0" applyFont="1" applyFill="1" applyBorder="1" applyAlignment="1">
      <alignment horizontal="right" vertical="center" indent="1"/>
    </xf>
    <xf numFmtId="0" fontId="18" fillId="10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right" vertical="center" wrapText="1" indent="1"/>
    </xf>
    <xf numFmtId="0" fontId="18" fillId="10" borderId="8" xfId="0" applyFont="1" applyFill="1" applyBorder="1" applyAlignment="1">
      <alignment horizontal="right" vertical="center" wrapText="1" indent="1"/>
    </xf>
    <xf numFmtId="0" fontId="19" fillId="12" borderId="0" xfId="0" applyFont="1" applyFill="1" applyAlignment="1">
      <alignment horizontal="center"/>
    </xf>
    <xf numFmtId="3" fontId="13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right" vertical="center"/>
    </xf>
    <xf numFmtId="0" fontId="19" fillId="12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3" fontId="1" fillId="6" borderId="5" xfId="0" applyNumberFormat="1" applyFont="1" applyFill="1" applyBorder="1" applyAlignment="1">
      <alignment horizontal="center" vertical="center" wrapText="1"/>
    </xf>
    <xf numFmtId="3" fontId="1" fillId="6" borderId="6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541"/>
  <sheetViews>
    <sheetView rightToLeft="1" tabSelected="1" zoomScale="96" zoomScaleNormal="96" workbookViewId="0">
      <pane xSplit="1" topLeftCell="B1" activePane="topRight" state="frozen"/>
      <selection pane="topRight" activeCell="K6" sqref="K6"/>
    </sheetView>
  </sheetViews>
  <sheetFormatPr defaultColWidth="9.09765625" defaultRowHeight="19.8"/>
  <cols>
    <col min="1" max="1" width="6.59765625" style="45" customWidth="1"/>
    <col min="2" max="2" width="5.59765625" style="46" customWidth="1"/>
    <col min="3" max="3" width="7.8984375" style="46" customWidth="1"/>
    <col min="4" max="4" width="7.69921875" style="46" customWidth="1"/>
    <col min="5" max="5" width="13.69921875" style="46" customWidth="1"/>
    <col min="6" max="6" width="11.296875" style="46" customWidth="1"/>
    <col min="7" max="7" width="9.8984375" style="46" customWidth="1"/>
    <col min="8" max="8" width="9" style="46" customWidth="1"/>
    <col min="9" max="9" width="13.09765625" style="46" customWidth="1"/>
    <col min="10" max="10" width="12.296875" style="46" customWidth="1"/>
    <col min="11" max="11" width="11.296875" style="46" customWidth="1"/>
    <col min="12" max="12" width="11" style="46" customWidth="1"/>
    <col min="13" max="13" width="12.69921875" style="46" customWidth="1"/>
    <col min="14" max="14" width="11.59765625" style="46" customWidth="1"/>
    <col min="15" max="15" width="10.296875" style="46" customWidth="1"/>
    <col min="16" max="16" width="9" style="46" customWidth="1"/>
    <col min="17" max="17" width="22.59765625" style="46" customWidth="1"/>
    <col min="18" max="18" width="13.8984375" style="46" customWidth="1"/>
    <col min="19" max="16384" width="9.09765625" style="1"/>
  </cols>
  <sheetData>
    <row r="1" spans="1:18" ht="35.25" customHeight="1">
      <c r="A1" s="72" t="s">
        <v>73</v>
      </c>
      <c r="B1" s="48" t="s">
        <v>1</v>
      </c>
      <c r="C1" s="74" t="s">
        <v>87</v>
      </c>
      <c r="D1" s="74"/>
      <c r="E1" s="75"/>
      <c r="F1" s="76" t="s">
        <v>74</v>
      </c>
      <c r="G1" s="77"/>
      <c r="H1" s="77"/>
      <c r="I1" s="77"/>
      <c r="J1" s="77"/>
      <c r="K1" s="77"/>
      <c r="L1" s="77"/>
      <c r="M1" s="77"/>
      <c r="N1" s="77"/>
      <c r="O1" s="77"/>
      <c r="P1" s="78"/>
      <c r="Q1" s="79" t="s">
        <v>81</v>
      </c>
      <c r="R1" s="79" t="s">
        <v>82</v>
      </c>
    </row>
    <row r="2" spans="1:18" ht="99" customHeight="1">
      <c r="A2" s="73"/>
      <c r="B2" s="49" t="s">
        <v>25</v>
      </c>
      <c r="C2" s="50" t="s">
        <v>23</v>
      </c>
      <c r="D2" s="50" t="s">
        <v>8</v>
      </c>
      <c r="E2" s="50" t="s">
        <v>86</v>
      </c>
      <c r="F2" s="50" t="s">
        <v>89</v>
      </c>
      <c r="G2" s="50" t="s">
        <v>91</v>
      </c>
      <c r="H2" s="50" t="s">
        <v>90</v>
      </c>
      <c r="I2" s="50" t="s">
        <v>75</v>
      </c>
      <c r="J2" s="50" t="s">
        <v>76</v>
      </c>
      <c r="K2" s="50" t="s">
        <v>80</v>
      </c>
      <c r="L2" s="50" t="s">
        <v>77</v>
      </c>
      <c r="M2" s="50" t="s">
        <v>85</v>
      </c>
      <c r="N2" s="50" t="s">
        <v>84</v>
      </c>
      <c r="O2" s="50" t="s">
        <v>6</v>
      </c>
      <c r="P2" s="50" t="s">
        <v>83</v>
      </c>
      <c r="Q2" s="80"/>
      <c r="R2" s="80"/>
    </row>
    <row r="3" spans="1:18" ht="77.25" customHeight="1">
      <c r="A3" s="53" t="s">
        <v>78</v>
      </c>
      <c r="B3" s="54">
        <v>1</v>
      </c>
      <c r="C3" s="54">
        <v>6250</v>
      </c>
      <c r="D3" s="54">
        <v>25000</v>
      </c>
      <c r="E3" s="51">
        <f>SUM(C3:D3)</f>
        <v>31250</v>
      </c>
      <c r="F3" s="54">
        <v>3500000</v>
      </c>
      <c r="G3" s="54">
        <v>3500000</v>
      </c>
      <c r="H3" s="54">
        <v>6000000</v>
      </c>
      <c r="I3" s="54">
        <v>0</v>
      </c>
      <c r="J3" s="54">
        <v>0</v>
      </c>
      <c r="K3" s="54">
        <v>150000000</v>
      </c>
      <c r="L3" s="54">
        <v>100000000</v>
      </c>
      <c r="M3" s="54">
        <v>15000000</v>
      </c>
      <c r="N3" s="54">
        <v>25000000</v>
      </c>
      <c r="O3" s="54">
        <v>48000</v>
      </c>
      <c r="P3" s="51">
        <f>SUM(N3/O3)</f>
        <v>520.83333333333337</v>
      </c>
      <c r="Q3" s="54">
        <f>35/100*SUM(E3,P3)</f>
        <v>11119.791666666666</v>
      </c>
      <c r="R3" s="52">
        <f>SUM(E3,P3,Q3)</f>
        <v>42890.625</v>
      </c>
    </row>
    <row r="4" spans="1:18" ht="82.5" customHeight="1">
      <c r="A4" s="56" t="s">
        <v>79</v>
      </c>
      <c r="B4" s="57">
        <v>1</v>
      </c>
      <c r="C4" s="57">
        <v>312500</v>
      </c>
      <c r="D4" s="57">
        <v>62500</v>
      </c>
      <c r="E4" s="58">
        <f>SUM(C4:D4)</f>
        <v>375000</v>
      </c>
      <c r="F4" s="57">
        <v>3500000</v>
      </c>
      <c r="G4" s="57">
        <v>3500000</v>
      </c>
      <c r="H4" s="57">
        <v>6000000</v>
      </c>
      <c r="I4" s="57">
        <v>60000000</v>
      </c>
      <c r="J4" s="57">
        <f>((7000000000)/3)/(365*24)*12</f>
        <v>3196347.0319634704</v>
      </c>
      <c r="K4" s="57">
        <v>150000000</v>
      </c>
      <c r="L4" s="57">
        <v>100000000</v>
      </c>
      <c r="M4" s="57">
        <v>15000000</v>
      </c>
      <c r="N4" s="57">
        <v>25000000</v>
      </c>
      <c r="O4" s="57">
        <v>48000</v>
      </c>
      <c r="P4" s="58">
        <f>SUM(F4:N4)/O4</f>
        <v>7629.0905631659052</v>
      </c>
      <c r="Q4" s="57">
        <f>35/100*SUM(E4,P4)</f>
        <v>133920.18169710806</v>
      </c>
      <c r="R4" s="59">
        <f>SUM(E4,P4,Q4)</f>
        <v>516549.27226027392</v>
      </c>
    </row>
    <row r="5" spans="1:18" s="55" customFormat="1" ht="32.25" customHeight="1">
      <c r="A5" s="60" t="s">
        <v>88</v>
      </c>
      <c r="B5" s="60"/>
      <c r="C5" s="60">
        <f>(C4*75/100)+(C3*25/100)</f>
        <v>235937.5</v>
      </c>
      <c r="D5" s="60">
        <f t="shared" ref="D5:R5" si="0">(D4*75/100)+(D3*25/100)</f>
        <v>53125</v>
      </c>
      <c r="E5" s="60">
        <f t="shared" si="0"/>
        <v>289062.5</v>
      </c>
      <c r="F5" s="60">
        <f t="shared" si="0"/>
        <v>3500000</v>
      </c>
      <c r="G5" s="60">
        <f t="shared" si="0"/>
        <v>3500000</v>
      </c>
      <c r="H5" s="60">
        <f t="shared" si="0"/>
        <v>6000000</v>
      </c>
      <c r="I5" s="60">
        <f>I4</f>
        <v>60000000</v>
      </c>
      <c r="J5" s="60">
        <f>J4</f>
        <v>3196347.0319634704</v>
      </c>
      <c r="K5" s="60">
        <f t="shared" si="0"/>
        <v>150000000</v>
      </c>
      <c r="L5" s="60">
        <f t="shared" si="0"/>
        <v>100000000</v>
      </c>
      <c r="M5" s="60">
        <v>15000000</v>
      </c>
      <c r="N5" s="60">
        <f t="shared" si="0"/>
        <v>25000000</v>
      </c>
      <c r="O5" s="60">
        <f t="shared" si="0"/>
        <v>48000</v>
      </c>
      <c r="P5" s="60">
        <f t="shared" si="0"/>
        <v>5852.0262557077622</v>
      </c>
      <c r="Q5" s="60">
        <f t="shared" si="0"/>
        <v>103220.08418949771</v>
      </c>
      <c r="R5" s="60">
        <f t="shared" si="0"/>
        <v>398134.61044520541</v>
      </c>
    </row>
    <row r="6" spans="1:18" s="9" customFormat="1">
      <c r="A6" s="42"/>
      <c r="B6" s="47"/>
      <c r="C6" s="47"/>
      <c r="D6" s="47"/>
      <c r="E6" s="47"/>
      <c r="F6" s="47"/>
      <c r="G6" s="47"/>
      <c r="H6" s="47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s="9" customFormat="1">
      <c r="A7" s="42"/>
      <c r="B7" s="42"/>
      <c r="C7" s="61"/>
      <c r="D7" s="61"/>
      <c r="E7" s="61"/>
      <c r="F7" s="61"/>
      <c r="G7" s="61"/>
      <c r="H7" s="61"/>
      <c r="I7" s="61"/>
      <c r="J7" s="42"/>
      <c r="K7" s="42"/>
      <c r="L7" s="42"/>
      <c r="M7" s="42"/>
      <c r="N7" s="42"/>
      <c r="O7" s="42"/>
      <c r="P7" s="42"/>
      <c r="Q7" s="42"/>
      <c r="R7" s="42"/>
    </row>
    <row r="8" spans="1:18" s="9" customFormat="1" ht="24.6">
      <c r="A8" s="42"/>
      <c r="B8" s="63"/>
      <c r="C8" s="81" t="s">
        <v>92</v>
      </c>
      <c r="D8" s="81"/>
      <c r="E8" s="81"/>
      <c r="F8" s="81"/>
      <c r="G8" s="64"/>
      <c r="H8" s="64"/>
      <c r="I8" s="64"/>
      <c r="J8" s="63"/>
      <c r="K8" s="63"/>
      <c r="L8" s="63"/>
      <c r="M8" s="63"/>
      <c r="N8" s="63"/>
      <c r="O8" s="63"/>
      <c r="P8" s="63"/>
      <c r="Q8" s="63"/>
      <c r="R8" s="43"/>
    </row>
    <row r="9" spans="1:18" s="9" customFormat="1" ht="24.6">
      <c r="A9" s="42"/>
      <c r="B9" s="65"/>
      <c r="C9" s="83" t="s">
        <v>100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43"/>
    </row>
    <row r="10" spans="1:18" s="9" customFormat="1" ht="24.6">
      <c r="A10" s="42"/>
      <c r="B10" s="65"/>
      <c r="C10" s="71" t="s">
        <v>93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6"/>
      <c r="Q10" s="66"/>
      <c r="R10" s="43"/>
    </row>
    <row r="11" spans="1:18" ht="24.6">
      <c r="B11" s="65"/>
      <c r="C11" s="71" t="s">
        <v>95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8" s="9" customFormat="1" ht="24.6">
      <c r="A12" s="42"/>
      <c r="B12" s="67"/>
      <c r="C12" s="84" t="s">
        <v>94</v>
      </c>
      <c r="D12" s="84"/>
      <c r="E12" s="84"/>
      <c r="F12" s="84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43"/>
    </row>
    <row r="13" spans="1:18" s="9" customFormat="1" ht="24.6">
      <c r="A13" s="42"/>
      <c r="B13" s="65"/>
      <c r="C13" s="71" t="s">
        <v>96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43"/>
    </row>
    <row r="14" spans="1:18" s="9" customFormat="1" ht="24.6">
      <c r="A14" s="42"/>
      <c r="B14" s="65"/>
      <c r="C14" s="71" t="s">
        <v>97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43"/>
    </row>
    <row r="15" spans="1:18" s="9" customFormat="1" ht="24.6">
      <c r="A15" s="42"/>
      <c r="B15" s="45"/>
      <c r="C15" s="69" t="s">
        <v>98</v>
      </c>
      <c r="D15" s="70"/>
      <c r="E15" s="69"/>
      <c r="F15" s="69"/>
      <c r="G15" s="69"/>
      <c r="H15" s="69"/>
      <c r="I15" s="69" t="s">
        <v>99</v>
      </c>
      <c r="J15" s="69"/>
      <c r="K15" s="69"/>
      <c r="L15" s="69"/>
      <c r="M15" s="69"/>
      <c r="N15" s="70"/>
      <c r="O15" s="70"/>
      <c r="P15" s="62"/>
      <c r="Q15" s="62"/>
      <c r="R15" s="43"/>
    </row>
    <row r="16" spans="1:18" s="9" customFormat="1">
      <c r="A16" s="4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43"/>
      <c r="R16" s="43"/>
    </row>
    <row r="17" spans="1:18" s="9" customFormat="1">
      <c r="A17" s="4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43"/>
      <c r="R17" s="43"/>
    </row>
    <row r="18" spans="1:18" s="9" customFormat="1">
      <c r="A18" s="4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43"/>
      <c r="R18" s="43"/>
    </row>
    <row r="19" spans="1:18" s="9" customFormat="1">
      <c r="A19" s="4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43"/>
      <c r="R19" s="43"/>
    </row>
    <row r="20" spans="1:18" s="9" customForma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s="9" customForma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s="9" customForma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s="9" customForma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s="9" customForma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s="9" customFormat="1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s="9" customForma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s="9" customFormat="1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s="9" customForma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s="9" customForma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 s="9" customFormat="1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s="9" customFormat="1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s="9" customForma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s="9" customForma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18" s="9" customFormat="1" ht="30" customHeight="1">
      <c r="A34" s="44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s="9" customFormat="1">
      <c r="A35" s="44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s="9" customFormat="1">
      <c r="A36" s="44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s="9" customFormat="1">
      <c r="A37" s="44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s="9" customFormat="1">
      <c r="A38" s="4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1:18" s="9" customFormat="1">
      <c r="A39" s="44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1:18" s="9" customFormat="1">
      <c r="A40" s="4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1:18" s="9" customFormat="1">
      <c r="A41" s="44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18" s="9" customFormat="1">
      <c r="A42" s="44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18" s="9" customFormat="1">
      <c r="A43" s="4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1:18" s="9" customFormat="1">
      <c r="A44" s="44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1:18" s="9" customFormat="1">
      <c r="A45" s="44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18" s="9" customFormat="1">
      <c r="A46" s="44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</row>
    <row r="47" spans="1:18" s="9" customFormat="1">
      <c r="A47" s="4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</row>
    <row r="48" spans="1:18" s="9" customFormat="1">
      <c r="A48" s="44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s="40" customFormat="1" ht="16.8">
      <c r="A49" s="44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 s="40" customFormat="1" ht="16.8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s="40" customFormat="1" ht="16.8">
      <c r="A51" s="44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s="40" customFormat="1" ht="16.8">
      <c r="A52" s="44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 s="40" customFormat="1" ht="16.8">
      <c r="A53" s="44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</row>
    <row r="54" spans="1:18" s="40" customFormat="1" ht="16.8">
      <c r="A54" s="44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s="40" customFormat="1" ht="16.8">
      <c r="A55" s="44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18" s="40" customFormat="1" ht="16.8">
      <c r="A56" s="44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 s="40" customFormat="1" ht="16.8">
      <c r="A57" s="44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 s="40" customFormat="1" ht="16.8">
      <c r="A58" s="44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1:18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2" spans="1:18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</row>
    <row r="63" spans="1:18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18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</row>
    <row r="65" spans="2:18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</row>
    <row r="66" spans="2:18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  <row r="67" spans="2:18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2:18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2:18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</row>
    <row r="71" spans="2:18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</row>
    <row r="72" spans="2:18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2:18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</row>
    <row r="74" spans="2:18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2:18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</row>
    <row r="76" spans="2:18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2:18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</row>
    <row r="78" spans="2:18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</row>
    <row r="79" spans="2:18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2:18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2:18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2:18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2:18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2:18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2:18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2:18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2:18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  <row r="88" spans="2:18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</row>
    <row r="89" spans="2:18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2:18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2:18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</row>
    <row r="92" spans="2:18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</row>
    <row r="93" spans="2:18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</row>
    <row r="94" spans="2:18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2:18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</row>
    <row r="96" spans="2:18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</row>
    <row r="97" spans="2:18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</row>
    <row r="98" spans="2:18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</row>
    <row r="99" spans="2:18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2:18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2:18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</row>
    <row r="102" spans="2:18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</row>
    <row r="103" spans="2:18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</row>
    <row r="104" spans="2:18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</row>
    <row r="105" spans="2:18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</row>
    <row r="106" spans="2:18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</row>
    <row r="107" spans="2:18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</row>
    <row r="108" spans="2:18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</row>
    <row r="109" spans="2:18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</row>
    <row r="110" spans="2:18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</row>
    <row r="111" spans="2:18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</row>
    <row r="112" spans="2:18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</row>
    <row r="113" spans="2:18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</row>
    <row r="114" spans="2:18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2:18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</row>
    <row r="116" spans="2:18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2:18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</row>
    <row r="118" spans="2:18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</row>
    <row r="119" spans="2:18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</row>
    <row r="120" spans="2:18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</row>
    <row r="121" spans="2:18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</row>
    <row r="122" spans="2:18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</row>
    <row r="123" spans="2:18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</row>
    <row r="124" spans="2:18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</row>
    <row r="125" spans="2:18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</row>
    <row r="126" spans="2:18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</row>
    <row r="127" spans="2:18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</row>
    <row r="128" spans="2:18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</row>
    <row r="129" spans="2:18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</row>
    <row r="130" spans="2:18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</row>
    <row r="131" spans="2:18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18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</row>
    <row r="133" spans="2:18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</row>
    <row r="134" spans="2:18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</row>
    <row r="135" spans="2:18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</row>
    <row r="136" spans="2:18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</row>
    <row r="137" spans="2:18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</row>
    <row r="138" spans="2:18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</row>
    <row r="139" spans="2:18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</row>
    <row r="140" spans="2:18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</row>
    <row r="141" spans="2:18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</row>
    <row r="142" spans="2:18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</row>
    <row r="143" spans="2:18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</row>
    <row r="144" spans="2:18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</row>
    <row r="145" spans="2:18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</row>
    <row r="146" spans="2:18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</row>
    <row r="147" spans="2:18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2:18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</row>
    <row r="149" spans="2:18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</row>
    <row r="150" spans="2:18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</row>
    <row r="151" spans="2:18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</row>
    <row r="152" spans="2:18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</row>
    <row r="153" spans="2:18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</row>
    <row r="154" spans="2:18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</row>
    <row r="155" spans="2:18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</row>
    <row r="156" spans="2:18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</row>
    <row r="157" spans="2:18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</row>
    <row r="158" spans="2:18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</row>
    <row r="159" spans="2:18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</row>
    <row r="160" spans="2:18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</row>
    <row r="161" spans="2:18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2" spans="2:18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2:18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4" spans="2:18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</row>
    <row r="165" spans="2:18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6" spans="2:18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</row>
    <row r="167" spans="2:18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68" spans="2:18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</row>
    <row r="169" spans="2:18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</row>
    <row r="170" spans="2:18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</row>
    <row r="171" spans="2:18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</row>
    <row r="172" spans="2:18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</row>
    <row r="173" spans="2:18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</row>
    <row r="174" spans="2:18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</row>
    <row r="175" spans="2:18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6" spans="2:18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</row>
    <row r="177" spans="2:18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8" spans="2:18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2:18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0" spans="2:18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</row>
    <row r="181" spans="2:18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2" spans="2:18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</row>
    <row r="183" spans="2:18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  <row r="184" spans="2:18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</row>
    <row r="185" spans="2:18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  <row r="186" spans="2:18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</row>
    <row r="187" spans="2:18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</row>
    <row r="188" spans="2:18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</row>
    <row r="189" spans="2:18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</row>
    <row r="190" spans="2:18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</row>
    <row r="191" spans="2:18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</row>
    <row r="192" spans="2:18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</row>
    <row r="193" spans="2:18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2:18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</row>
    <row r="195" spans="2:18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</row>
    <row r="196" spans="2:18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</row>
    <row r="197" spans="2:18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</row>
    <row r="198" spans="2:18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</row>
    <row r="199" spans="2:18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</row>
    <row r="200" spans="2:18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</row>
    <row r="201" spans="2:18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</row>
    <row r="202" spans="2:18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</row>
    <row r="203" spans="2:18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</row>
    <row r="204" spans="2:18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</row>
    <row r="205" spans="2:18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</row>
    <row r="206" spans="2:18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</row>
    <row r="207" spans="2:18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</row>
    <row r="208" spans="2:18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</row>
    <row r="209" spans="2:18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2:18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</row>
    <row r="211" spans="2:18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</row>
    <row r="212" spans="2:18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</row>
    <row r="213" spans="2:18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</row>
    <row r="214" spans="2:18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</row>
    <row r="215" spans="2:18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</row>
    <row r="216" spans="2:18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</row>
    <row r="217" spans="2:18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</row>
    <row r="218" spans="2:18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</row>
    <row r="219" spans="2:18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</row>
    <row r="220" spans="2:18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</row>
    <row r="221" spans="2:18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</row>
    <row r="222" spans="2:18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</row>
    <row r="223" spans="2:18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</row>
    <row r="224" spans="2:18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2:18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</row>
    <row r="226" spans="2:18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</row>
    <row r="227" spans="2:18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</row>
    <row r="228" spans="2:18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</row>
    <row r="229" spans="2:18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</row>
    <row r="230" spans="2:18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</row>
    <row r="231" spans="2:18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</row>
    <row r="232" spans="2:18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</row>
    <row r="233" spans="2:18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</row>
    <row r="234" spans="2:18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</row>
    <row r="235" spans="2:18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</row>
    <row r="236" spans="2:18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</row>
    <row r="237" spans="2:18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</row>
    <row r="238" spans="2:18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</row>
    <row r="239" spans="2:18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</row>
    <row r="240" spans="2:18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2:18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</row>
    <row r="242" spans="2:18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</row>
    <row r="243" spans="2:18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</row>
    <row r="244" spans="2:18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</row>
    <row r="245" spans="2:18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</row>
    <row r="246" spans="2:18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</row>
    <row r="247" spans="2:18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</row>
    <row r="248" spans="2:18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</row>
    <row r="249" spans="2:18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</row>
    <row r="250" spans="2:18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</row>
    <row r="251" spans="2:18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</row>
    <row r="252" spans="2:18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</row>
    <row r="253" spans="2:18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</row>
    <row r="254" spans="2:18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</row>
    <row r="255" spans="2:18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2:18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</row>
    <row r="257" spans="2:18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</row>
    <row r="258" spans="2:18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</row>
    <row r="259" spans="2:18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</row>
    <row r="260" spans="2:18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</row>
    <row r="261" spans="2:18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</row>
    <row r="262" spans="2:18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</row>
    <row r="263" spans="2:18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</row>
    <row r="264" spans="2:18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</row>
    <row r="265" spans="2:18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</row>
    <row r="266" spans="2:18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</row>
    <row r="267" spans="2:18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</row>
    <row r="268" spans="2:18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</row>
    <row r="269" spans="2:18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</row>
    <row r="270" spans="2:18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</row>
    <row r="271" spans="2:18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2:18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</row>
    <row r="273" spans="2:18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</row>
    <row r="274" spans="2:18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</row>
    <row r="275" spans="2:18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</row>
    <row r="276" spans="2:18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</row>
    <row r="277" spans="2:18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</row>
    <row r="278" spans="2:18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</row>
    <row r="279" spans="2:18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</row>
    <row r="280" spans="2:18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</row>
    <row r="281" spans="2:18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</row>
    <row r="282" spans="2:18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</row>
    <row r="283" spans="2:18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</row>
    <row r="284" spans="2:18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</row>
    <row r="285" spans="2:18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</row>
    <row r="286" spans="2:18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2:18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</row>
    <row r="288" spans="2:18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</row>
    <row r="289" spans="2:18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</row>
    <row r="290" spans="2:18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</row>
    <row r="291" spans="2:18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</row>
    <row r="292" spans="2:18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</row>
    <row r="293" spans="2:18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</row>
    <row r="294" spans="2:18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</row>
    <row r="295" spans="2:18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</row>
    <row r="296" spans="2:18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</row>
    <row r="297" spans="2:18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</row>
    <row r="298" spans="2:18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</row>
    <row r="299" spans="2:18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</row>
    <row r="300" spans="2:18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</row>
    <row r="301" spans="2:18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</row>
    <row r="302" spans="2:18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2:18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</row>
    <row r="304" spans="2:18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</row>
    <row r="305" spans="2:18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</row>
    <row r="306" spans="2:18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</row>
    <row r="307" spans="2:18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</row>
    <row r="308" spans="2:18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</row>
    <row r="309" spans="2:18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</row>
    <row r="310" spans="2:18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</row>
    <row r="311" spans="2:18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</row>
    <row r="312" spans="2:18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</row>
    <row r="313" spans="2:18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</row>
    <row r="314" spans="2:18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</row>
    <row r="315" spans="2:18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</row>
    <row r="316" spans="2:18"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</row>
    <row r="317" spans="2:18"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2:18"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</row>
    <row r="319" spans="2:18"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</row>
    <row r="320" spans="2:18"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</row>
    <row r="321" spans="2:18"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</row>
    <row r="322" spans="2:18"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</row>
    <row r="323" spans="2:18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</row>
    <row r="324" spans="2:18"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</row>
    <row r="325" spans="2:18"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</row>
    <row r="326" spans="2:18"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</row>
    <row r="327" spans="2:18"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</row>
    <row r="328" spans="2:18"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</row>
    <row r="329" spans="2:18"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</row>
    <row r="330" spans="2:18"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</row>
    <row r="331" spans="2:18"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</row>
    <row r="332" spans="2:18"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</row>
    <row r="333" spans="2:18"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2:18"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</row>
    <row r="335" spans="2:18"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</row>
    <row r="336" spans="2:18"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</row>
    <row r="337" spans="2:18"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</row>
    <row r="338" spans="2:18"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</row>
    <row r="339" spans="2:18"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</row>
    <row r="340" spans="2:18"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</row>
    <row r="341" spans="2:18"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</row>
    <row r="342" spans="2:18"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</row>
    <row r="343" spans="2:18"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</row>
    <row r="344" spans="2:18"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</row>
    <row r="345" spans="2:18"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</row>
    <row r="346" spans="2:18"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</row>
    <row r="347" spans="2:18"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</row>
    <row r="348" spans="2:18"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2:18"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</row>
    <row r="350" spans="2:18"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</row>
    <row r="351" spans="2:18"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</row>
    <row r="352" spans="2:18"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</row>
    <row r="353" spans="2:18"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</row>
    <row r="354" spans="2:18"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</row>
    <row r="355" spans="2:18"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</row>
    <row r="356" spans="2:18"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</row>
    <row r="357" spans="2:18"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</row>
    <row r="358" spans="2:18"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</row>
    <row r="359" spans="2:18"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</row>
    <row r="360" spans="2:18"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</row>
    <row r="361" spans="2:18"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</row>
    <row r="362" spans="2:18"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</row>
    <row r="363" spans="2:18"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</row>
    <row r="364" spans="2:18"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2:18"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</row>
    <row r="366" spans="2:18"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</row>
    <row r="367" spans="2:18"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</row>
    <row r="368" spans="2:18"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</row>
    <row r="369" spans="2:18"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</row>
    <row r="370" spans="2:18"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</row>
    <row r="371" spans="2:18"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</row>
    <row r="372" spans="2:18"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</row>
    <row r="373" spans="2:18"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</row>
    <row r="374" spans="2:18"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</row>
    <row r="375" spans="2:18"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</row>
    <row r="376" spans="2:18"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</row>
    <row r="377" spans="2:18"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</row>
    <row r="378" spans="2:18"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</row>
    <row r="379" spans="2:18"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2:18"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</row>
    <row r="381" spans="2:18"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</row>
    <row r="382" spans="2:18"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</row>
    <row r="383" spans="2:18"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</row>
    <row r="384" spans="2:18"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</row>
    <row r="385" spans="2:18"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</row>
    <row r="386" spans="2:18"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</row>
    <row r="387" spans="2:18"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</row>
    <row r="388" spans="2:18"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</row>
    <row r="389" spans="2:18"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</row>
    <row r="390" spans="2:18"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</row>
    <row r="391" spans="2:18"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</row>
    <row r="392" spans="2:18"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</row>
    <row r="393" spans="2:18"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</row>
    <row r="394" spans="2:18"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</row>
    <row r="395" spans="2:18"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2:18"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</row>
    <row r="397" spans="2:18"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</row>
    <row r="398" spans="2:18"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</row>
    <row r="399" spans="2:18"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</row>
    <row r="400" spans="2:18"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</row>
    <row r="401" spans="2:18"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</row>
    <row r="402" spans="2:18"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</row>
    <row r="403" spans="2:18"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</row>
    <row r="404" spans="2:18"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</row>
    <row r="405" spans="2:18"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</row>
    <row r="406" spans="2:18"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</row>
    <row r="407" spans="2:18"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</row>
    <row r="408" spans="2:18"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</row>
    <row r="409" spans="2:18"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</row>
    <row r="410" spans="2:18"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2:18"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</row>
    <row r="412" spans="2:18"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</row>
    <row r="413" spans="2:18"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</row>
    <row r="414" spans="2:18"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</row>
    <row r="415" spans="2:18"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</row>
    <row r="416" spans="2:18"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</row>
    <row r="417" spans="2:18"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</row>
    <row r="418" spans="2:18"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</row>
    <row r="419" spans="2:18"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</row>
    <row r="420" spans="2:18"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</row>
    <row r="421" spans="2:18"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</row>
    <row r="422" spans="2:18"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</row>
    <row r="423" spans="2:18"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</row>
    <row r="424" spans="2:18"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</row>
    <row r="425" spans="2:18"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</row>
    <row r="426" spans="2:18"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2:18"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</row>
    <row r="428" spans="2:18"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</row>
    <row r="429" spans="2:18"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</row>
    <row r="430" spans="2:18"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</row>
    <row r="431" spans="2:18"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</row>
    <row r="432" spans="2:18"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</row>
    <row r="433" spans="2:18"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</row>
    <row r="434" spans="2:18"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</row>
    <row r="435" spans="2:18"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</row>
    <row r="436" spans="2:18"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</row>
    <row r="437" spans="2:18"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</row>
    <row r="438" spans="2:18"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</row>
    <row r="439" spans="2:18"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</row>
    <row r="440" spans="2:18"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</row>
    <row r="441" spans="2:18"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</row>
    <row r="442" spans="2:18"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</row>
    <row r="443" spans="2:18"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</row>
    <row r="444" spans="2:18"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</row>
    <row r="445" spans="2:18"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</row>
    <row r="446" spans="2:18"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</row>
    <row r="447" spans="2:18"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</row>
    <row r="448" spans="2:18"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</row>
    <row r="449" spans="2:18"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</row>
    <row r="450" spans="2:18"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</row>
    <row r="451" spans="2:18"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</row>
    <row r="452" spans="2:18"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</row>
    <row r="453" spans="2:18"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</row>
    <row r="454" spans="2:18"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</row>
    <row r="455" spans="2:18"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</row>
    <row r="456" spans="2:18"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</row>
    <row r="457" spans="2:18"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</row>
    <row r="458" spans="2:18"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</row>
    <row r="459" spans="2:18"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</row>
    <row r="460" spans="2:18"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</row>
    <row r="461" spans="2:18"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</row>
    <row r="462" spans="2:18"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</row>
    <row r="463" spans="2:18"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</row>
    <row r="464" spans="2:18"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</row>
    <row r="465" spans="2:18"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</row>
    <row r="466" spans="2:18"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</row>
    <row r="467" spans="2:18"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</row>
    <row r="468" spans="2:18"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</row>
    <row r="469" spans="2:18"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</row>
    <row r="470" spans="2:18"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</row>
    <row r="471" spans="2:18"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</row>
    <row r="472" spans="2:18"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</row>
    <row r="473" spans="2:18"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</row>
    <row r="474" spans="2:18"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</row>
    <row r="475" spans="2:18"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</row>
    <row r="476" spans="2:18"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</row>
    <row r="477" spans="2:18"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</row>
    <row r="478" spans="2:18"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</row>
    <row r="479" spans="2:18"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</row>
    <row r="480" spans="2:18"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</row>
    <row r="481" spans="2:18"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</row>
    <row r="482" spans="2:18"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</row>
    <row r="483" spans="2:18"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</row>
    <row r="484" spans="2:18"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</row>
    <row r="485" spans="2:18"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</row>
    <row r="486" spans="2:18"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</row>
    <row r="487" spans="2:18"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</row>
    <row r="488" spans="2:18"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</row>
    <row r="489" spans="2:18"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</row>
    <row r="490" spans="2:18"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</row>
    <row r="491" spans="2:18"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</row>
    <row r="492" spans="2:18"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</row>
    <row r="493" spans="2:18"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</row>
    <row r="494" spans="2:18"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</row>
    <row r="495" spans="2:18"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</row>
    <row r="496" spans="2:18"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</row>
    <row r="497" spans="2:18"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</row>
    <row r="498" spans="2:18"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</row>
    <row r="499" spans="2:18"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</row>
    <row r="500" spans="2:18"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</row>
    <row r="501" spans="2:18"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</row>
    <row r="502" spans="2:18"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</row>
    <row r="503" spans="2:18"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</row>
    <row r="504" spans="2:18"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</row>
    <row r="505" spans="2:18"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</row>
    <row r="506" spans="2:18"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</row>
    <row r="507" spans="2:18"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</row>
    <row r="508" spans="2:18"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</row>
    <row r="509" spans="2:18"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</row>
    <row r="510" spans="2:18"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</row>
    <row r="511" spans="2:18"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</row>
    <row r="512" spans="2:18"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</row>
    <row r="513" spans="2:18"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</row>
    <row r="514" spans="2:18"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</row>
    <row r="515" spans="2:18"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</row>
    <row r="516" spans="2:18"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</row>
    <row r="517" spans="2:18"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</row>
    <row r="518" spans="2:18"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</row>
    <row r="519" spans="2:18"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</row>
    <row r="520" spans="2:18"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</row>
    <row r="521" spans="2:18"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</row>
    <row r="522" spans="2:18"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</row>
    <row r="523" spans="2:18"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</row>
    <row r="524" spans="2:18"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</row>
    <row r="525" spans="2:18"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</row>
    <row r="526" spans="2:18"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</row>
    <row r="527" spans="2:18"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</row>
    <row r="528" spans="2:18"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</row>
    <row r="529" spans="2:18"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</row>
    <row r="530" spans="2:18"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</row>
    <row r="531" spans="2:18"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</row>
    <row r="532" spans="2:18"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</row>
    <row r="533" spans="2:18"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</row>
    <row r="534" spans="2:18"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</row>
    <row r="535" spans="2:18"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</row>
    <row r="536" spans="2:18"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</row>
    <row r="537" spans="2:18"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</row>
    <row r="538" spans="2:18"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</row>
    <row r="539" spans="2:18"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</row>
    <row r="540" spans="2:18"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</row>
    <row r="541" spans="2:18"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</row>
  </sheetData>
  <autoFilter ref="A1:R48">
    <filterColumn colId="1" showButton="0"/>
    <filterColumn colId="2" showButton="0"/>
    <filterColumn colId="3" showButton="0"/>
    <filterColumn colId="5" showButton="0"/>
    <filterColumn colId="6" hiddenButton="1" showButton="0"/>
    <filterColumn colId="7" hiddenButton="1" showButton="0"/>
    <filterColumn colId="8" hiddenButton="1" showButton="0"/>
    <filterColumn colId="9" hiddenButton="1" showButton="0"/>
    <filterColumn colId="10" hiddenButton="1" showButton="0"/>
    <filterColumn colId="11" hiddenButton="1" showButton="0"/>
    <filterColumn colId="12" showButton="0"/>
    <filterColumn colId="13" showButton="0"/>
  </autoFilter>
  <mergeCells count="16">
    <mergeCell ref="R1:R2"/>
    <mergeCell ref="Q1:Q2"/>
    <mergeCell ref="C8:F8"/>
    <mergeCell ref="B19:P19"/>
    <mergeCell ref="B16:P16"/>
    <mergeCell ref="B17:P17"/>
    <mergeCell ref="B18:P18"/>
    <mergeCell ref="C9:Q9"/>
    <mergeCell ref="C10:O10"/>
    <mergeCell ref="C11:Q11"/>
    <mergeCell ref="C12:F12"/>
    <mergeCell ref="C13:Q13"/>
    <mergeCell ref="C14:Q14"/>
    <mergeCell ref="A1:A2"/>
    <mergeCell ref="C1:E1"/>
    <mergeCell ref="F1:P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rightToLeft="1" workbookViewId="0">
      <pane xSplit="2" topLeftCell="C1" activePane="topRight" state="frozen"/>
      <selection activeCell="A7" sqref="A7"/>
      <selection pane="topRight" activeCell="A18" sqref="A18:XFD18"/>
    </sheetView>
  </sheetViews>
  <sheetFormatPr defaultColWidth="9" defaultRowHeight="14.4"/>
  <cols>
    <col min="1" max="1" width="6.3984375" style="16" customWidth="1"/>
    <col min="2" max="2" width="31.09765625" style="17" bestFit="1" customWidth="1"/>
    <col min="3" max="3" width="12.59765625" style="16" bestFit="1" customWidth="1"/>
    <col min="4" max="6" width="9" style="16"/>
    <col min="7" max="7" width="10.59765625" style="16" customWidth="1"/>
    <col min="8" max="9" width="9" style="16"/>
    <col min="10" max="10" width="11.09765625" style="16" bestFit="1" customWidth="1"/>
    <col min="11" max="13" width="9" style="16"/>
    <col min="14" max="14" width="10.3984375" style="16" customWidth="1"/>
    <col min="15" max="18" width="9" style="16"/>
    <col min="19" max="19" width="10.59765625" style="16" bestFit="1" customWidth="1"/>
    <col min="20" max="20" width="9.59765625" style="16" bestFit="1" customWidth="1"/>
    <col min="21" max="27" width="9" style="16"/>
    <col min="28" max="28" width="9" style="16" customWidth="1"/>
    <col min="29" max="16384" width="9" style="16"/>
  </cols>
  <sheetData>
    <row r="1" spans="1:30" s="2" customFormat="1" ht="21" customHeight="1">
      <c r="A1" s="86" t="s">
        <v>70</v>
      </c>
      <c r="B1" s="91" t="s">
        <v>0</v>
      </c>
      <c r="C1" s="93" t="s">
        <v>16</v>
      </c>
      <c r="D1" s="95">
        <v>1</v>
      </c>
      <c r="E1" s="96"/>
      <c r="F1" s="97"/>
      <c r="G1" s="98" t="s">
        <v>2</v>
      </c>
      <c r="H1" s="98"/>
      <c r="I1" s="98"/>
      <c r="J1" s="98"/>
      <c r="K1" s="98"/>
      <c r="L1" s="98"/>
      <c r="M1" s="98"/>
      <c r="N1" s="99" t="s">
        <v>3</v>
      </c>
      <c r="O1" s="99"/>
      <c r="P1" s="99"/>
      <c r="Q1" s="99"/>
      <c r="R1" s="99"/>
      <c r="S1" s="99"/>
      <c r="T1" s="99"/>
      <c r="U1" s="99"/>
      <c r="V1" s="12"/>
      <c r="W1" s="100" t="s">
        <v>40</v>
      </c>
      <c r="X1" s="87" t="s">
        <v>38</v>
      </c>
      <c r="Y1" s="89" t="s">
        <v>68</v>
      </c>
      <c r="Z1" s="89" t="s">
        <v>67</v>
      </c>
      <c r="AA1" s="87" t="s">
        <v>39</v>
      </c>
      <c r="AB1" s="87" t="s">
        <v>69</v>
      </c>
    </row>
    <row r="2" spans="1:30" s="2" customFormat="1" ht="79.2">
      <c r="A2" s="86"/>
      <c r="B2" s="92"/>
      <c r="C2" s="94"/>
      <c r="D2" s="3" t="s">
        <v>25</v>
      </c>
      <c r="E2" s="3" t="s">
        <v>26</v>
      </c>
      <c r="F2" s="3" t="s">
        <v>27</v>
      </c>
      <c r="G2" s="6" t="s">
        <v>7</v>
      </c>
      <c r="H2" s="6" t="s">
        <v>11</v>
      </c>
      <c r="I2" s="6" t="s">
        <v>23</v>
      </c>
      <c r="J2" s="6" t="s">
        <v>35</v>
      </c>
      <c r="K2" s="6" t="s">
        <v>8</v>
      </c>
      <c r="L2" s="6" t="s">
        <v>9</v>
      </c>
      <c r="M2" s="4" t="s">
        <v>42</v>
      </c>
      <c r="N2" s="5" t="s">
        <v>10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4</v>
      </c>
      <c r="T2" s="5" t="s">
        <v>5</v>
      </c>
      <c r="U2" s="5" t="s">
        <v>6</v>
      </c>
      <c r="V2" s="5" t="s">
        <v>41</v>
      </c>
      <c r="W2" s="101"/>
      <c r="X2" s="88"/>
      <c r="Y2" s="90"/>
      <c r="Z2" s="90"/>
      <c r="AA2" s="88"/>
      <c r="AB2" s="88"/>
    </row>
    <row r="3" spans="1:30" s="19" customFormat="1" ht="21" customHeight="1">
      <c r="A3" s="19">
        <v>1</v>
      </c>
      <c r="B3" s="20" t="s">
        <v>28</v>
      </c>
      <c r="C3" s="19" t="s">
        <v>29</v>
      </c>
      <c r="D3" s="19">
        <v>23</v>
      </c>
      <c r="E3" s="19">
        <v>75</v>
      </c>
      <c r="F3" s="19">
        <f t="shared" ref="F3:F9" si="0">D3+E3</f>
        <v>98</v>
      </c>
      <c r="G3" s="19">
        <f t="shared" ref="G3:G9" si="1">(3/100*(6*20000000))</f>
        <v>3600000</v>
      </c>
      <c r="H3" s="19">
        <f t="shared" ref="H3:H9" si="2">((6*20000000)/3)/(365*24)*E3</f>
        <v>342465.75342465751</v>
      </c>
      <c r="I3" s="19">
        <v>150000</v>
      </c>
      <c r="J3" s="19">
        <f t="shared" ref="J3:J11" si="3">F3*I3</f>
        <v>14700000</v>
      </c>
      <c r="K3" s="19">
        <v>0</v>
      </c>
      <c r="L3" s="19">
        <f t="shared" ref="L3:L11" si="4">12*F3</f>
        <v>1176</v>
      </c>
      <c r="M3" s="19">
        <f t="shared" ref="M3:M9" si="5">(G3+H3+J3+K3)/L3</f>
        <v>15852.436865157024</v>
      </c>
      <c r="N3" s="19">
        <f t="shared" ref="N3:N11" si="6">12*15000000</f>
        <v>180000000</v>
      </c>
      <c r="O3" s="19">
        <f t="shared" ref="O3:O9" si="7">12*300000</f>
        <v>3600000</v>
      </c>
      <c r="P3" s="19">
        <f t="shared" ref="P3:P9" si="8">12*700000</f>
        <v>8400000</v>
      </c>
      <c r="Q3" s="19">
        <f t="shared" ref="Q3:Q9" si="9">12*500000</f>
        <v>6000000</v>
      </c>
      <c r="R3" s="19">
        <f t="shared" ref="R3:R11" si="10">12*600000</f>
        <v>7200000</v>
      </c>
      <c r="S3" s="19">
        <f t="shared" ref="S3:S9" si="11">12*8600000</f>
        <v>103200000</v>
      </c>
      <c r="T3" s="19">
        <f t="shared" ref="T3:T11" si="12">23/100*S3</f>
        <v>23736000</v>
      </c>
      <c r="U3" s="19">
        <v>36000</v>
      </c>
      <c r="V3" s="19">
        <f t="shared" ref="V3:V9" si="13">SUM(N3:T3)/U3</f>
        <v>9226</v>
      </c>
      <c r="W3" s="19">
        <f t="shared" ref="W3:W9" si="14">15/100*SUM(M3,V3)</f>
        <v>3761.7655297735537</v>
      </c>
      <c r="X3" s="19">
        <f t="shared" ref="X3:X11" si="15">SUM(M3,V3,W3)</f>
        <v>28840.20239493058</v>
      </c>
      <c r="Y3" s="19">
        <f t="shared" ref="Y3:Y9" si="16">F3*X3</f>
        <v>2826339.8347031968</v>
      </c>
      <c r="Z3" s="19">
        <v>2370000</v>
      </c>
      <c r="AA3" s="19">
        <f t="shared" ref="AA3:AA11" si="17">Y3-Z3</f>
        <v>456339.83470319677</v>
      </c>
      <c r="AB3" s="19">
        <f t="shared" ref="AB3:AB22" si="18">100*AA3/Z3</f>
        <v>19.254845346126444</v>
      </c>
      <c r="AC3" s="85" t="s">
        <v>72</v>
      </c>
      <c r="AD3" s="85"/>
    </row>
    <row r="4" spans="1:30" s="19" customFormat="1" ht="19.8">
      <c r="A4" s="19">
        <v>2</v>
      </c>
      <c r="B4" s="20" t="s">
        <v>30</v>
      </c>
      <c r="C4" s="19" t="s">
        <v>20</v>
      </c>
      <c r="D4" s="19">
        <v>14</v>
      </c>
      <c r="E4" s="19">
        <v>18</v>
      </c>
      <c r="F4" s="19">
        <f t="shared" si="0"/>
        <v>32</v>
      </c>
      <c r="G4" s="19">
        <f t="shared" si="1"/>
        <v>3600000</v>
      </c>
      <c r="H4" s="19">
        <f t="shared" si="2"/>
        <v>82191.780821917797</v>
      </c>
      <c r="I4" s="19">
        <v>150000</v>
      </c>
      <c r="J4" s="19">
        <f t="shared" si="3"/>
        <v>4800000</v>
      </c>
      <c r="K4" s="19">
        <v>0</v>
      </c>
      <c r="L4" s="19">
        <f t="shared" si="4"/>
        <v>384</v>
      </c>
      <c r="M4" s="19">
        <f t="shared" si="5"/>
        <v>22089.04109589041</v>
      </c>
      <c r="N4" s="19">
        <f t="shared" si="6"/>
        <v>180000000</v>
      </c>
      <c r="O4" s="19">
        <f t="shared" si="7"/>
        <v>3600000</v>
      </c>
      <c r="P4" s="19">
        <f t="shared" si="8"/>
        <v>8400000</v>
      </c>
      <c r="Q4" s="19">
        <f t="shared" si="9"/>
        <v>6000000</v>
      </c>
      <c r="R4" s="19">
        <f t="shared" si="10"/>
        <v>7200000</v>
      </c>
      <c r="S4" s="19">
        <f t="shared" si="11"/>
        <v>103200000</v>
      </c>
      <c r="T4" s="19">
        <f t="shared" si="12"/>
        <v>23736000</v>
      </c>
      <c r="U4" s="19">
        <v>36000</v>
      </c>
      <c r="V4" s="19">
        <f t="shared" si="13"/>
        <v>9226</v>
      </c>
      <c r="W4" s="19">
        <f t="shared" si="14"/>
        <v>4697.2561643835616</v>
      </c>
      <c r="X4" s="19">
        <f t="shared" si="15"/>
        <v>36012.297260273976</v>
      </c>
      <c r="Y4" s="19">
        <f t="shared" si="16"/>
        <v>1152393.5123287672</v>
      </c>
      <c r="Z4" s="19">
        <v>870000</v>
      </c>
      <c r="AA4" s="19">
        <f t="shared" si="17"/>
        <v>282393.51232876722</v>
      </c>
      <c r="AB4" s="19">
        <f t="shared" si="18"/>
        <v>32.459024405605426</v>
      </c>
      <c r="AC4" s="85"/>
      <c r="AD4" s="85"/>
    </row>
    <row r="5" spans="1:30" s="22" customFormat="1" ht="19.8">
      <c r="A5" s="19">
        <v>3</v>
      </c>
      <c r="B5" s="21" t="s">
        <v>24</v>
      </c>
      <c r="C5" s="22" t="s">
        <v>31</v>
      </c>
      <c r="D5" s="22">
        <v>22</v>
      </c>
      <c r="E5" s="22">
        <v>72</v>
      </c>
      <c r="F5" s="22">
        <f t="shared" si="0"/>
        <v>94</v>
      </c>
      <c r="G5" s="22">
        <f t="shared" si="1"/>
        <v>3600000</v>
      </c>
      <c r="H5" s="22">
        <f t="shared" si="2"/>
        <v>328767.12328767119</v>
      </c>
      <c r="I5" s="19">
        <v>150000</v>
      </c>
      <c r="J5" s="22">
        <f t="shared" si="3"/>
        <v>14100000</v>
      </c>
      <c r="K5" s="22">
        <v>0</v>
      </c>
      <c r="L5" s="22">
        <f t="shared" si="4"/>
        <v>1128</v>
      </c>
      <c r="M5" s="22">
        <f t="shared" si="5"/>
        <v>15982.949577382686</v>
      </c>
      <c r="N5" s="22">
        <f t="shared" si="6"/>
        <v>180000000</v>
      </c>
      <c r="O5" s="22">
        <f t="shared" si="7"/>
        <v>3600000</v>
      </c>
      <c r="P5" s="22">
        <f t="shared" si="8"/>
        <v>8400000</v>
      </c>
      <c r="Q5" s="22">
        <f t="shared" si="9"/>
        <v>6000000</v>
      </c>
      <c r="R5" s="22">
        <f t="shared" si="10"/>
        <v>7200000</v>
      </c>
      <c r="S5" s="22">
        <f t="shared" si="11"/>
        <v>103200000</v>
      </c>
      <c r="T5" s="22">
        <f t="shared" si="12"/>
        <v>23736000</v>
      </c>
      <c r="U5" s="22">
        <v>36000</v>
      </c>
      <c r="V5" s="22">
        <f t="shared" si="13"/>
        <v>9226</v>
      </c>
      <c r="W5" s="22">
        <f t="shared" si="14"/>
        <v>3781.3424366074028</v>
      </c>
      <c r="X5" s="22">
        <f t="shared" si="15"/>
        <v>28990.292013990089</v>
      </c>
      <c r="Y5" s="22">
        <f t="shared" si="16"/>
        <v>2725087.4493150683</v>
      </c>
      <c r="Z5" s="22">
        <v>1490000</v>
      </c>
      <c r="AA5" s="22">
        <f t="shared" si="17"/>
        <v>1235087.4493150683</v>
      </c>
      <c r="AB5" s="22">
        <f t="shared" si="18"/>
        <v>82.891775121816664</v>
      </c>
      <c r="AC5" s="85"/>
      <c r="AD5" s="85"/>
    </row>
    <row r="6" spans="1:30" s="19" customFormat="1" ht="19.8">
      <c r="A6" s="19">
        <v>4</v>
      </c>
      <c r="B6" s="20" t="s">
        <v>32</v>
      </c>
      <c r="C6" s="19" t="s">
        <v>21</v>
      </c>
      <c r="D6" s="19">
        <v>15</v>
      </c>
      <c r="E6" s="19">
        <v>32</v>
      </c>
      <c r="F6" s="19">
        <f t="shared" si="0"/>
        <v>47</v>
      </c>
      <c r="G6" s="19">
        <f t="shared" si="1"/>
        <v>3600000</v>
      </c>
      <c r="H6" s="19">
        <f t="shared" si="2"/>
        <v>146118.7214611872</v>
      </c>
      <c r="I6" s="19">
        <v>150000</v>
      </c>
      <c r="J6" s="19">
        <f t="shared" si="3"/>
        <v>7050000</v>
      </c>
      <c r="K6" s="19">
        <v>0</v>
      </c>
      <c r="L6" s="19">
        <f t="shared" si="4"/>
        <v>564</v>
      </c>
      <c r="M6" s="19">
        <f t="shared" si="5"/>
        <v>19142.054470675866</v>
      </c>
      <c r="N6" s="19">
        <f t="shared" si="6"/>
        <v>180000000</v>
      </c>
      <c r="O6" s="19">
        <f t="shared" si="7"/>
        <v>3600000</v>
      </c>
      <c r="P6" s="19">
        <f t="shared" si="8"/>
        <v>8400000</v>
      </c>
      <c r="Q6" s="19">
        <f t="shared" si="9"/>
        <v>6000000</v>
      </c>
      <c r="R6" s="19">
        <f t="shared" si="10"/>
        <v>7200000</v>
      </c>
      <c r="S6" s="19">
        <f t="shared" si="11"/>
        <v>103200000</v>
      </c>
      <c r="T6" s="19">
        <f t="shared" si="12"/>
        <v>23736000</v>
      </c>
      <c r="U6" s="19">
        <v>36000</v>
      </c>
      <c r="V6" s="19">
        <f t="shared" si="13"/>
        <v>9226</v>
      </c>
      <c r="W6" s="19">
        <f t="shared" si="14"/>
        <v>4255.2081706013796</v>
      </c>
      <c r="X6" s="19">
        <f t="shared" si="15"/>
        <v>32623.262641277244</v>
      </c>
      <c r="Y6" s="19">
        <f t="shared" si="16"/>
        <v>1533293.3441400304</v>
      </c>
      <c r="Z6" s="19">
        <v>1300000</v>
      </c>
      <c r="AA6" s="19">
        <f t="shared" si="17"/>
        <v>233293.34414003044</v>
      </c>
      <c r="AB6" s="19">
        <f t="shared" si="18"/>
        <v>17.94564185692542</v>
      </c>
      <c r="AC6" s="85"/>
      <c r="AD6" s="85"/>
    </row>
    <row r="7" spans="1:30" s="19" customFormat="1" ht="19.8">
      <c r="A7" s="19">
        <v>5</v>
      </c>
      <c r="B7" s="20" t="s">
        <v>22</v>
      </c>
      <c r="C7" s="19" t="s">
        <v>19</v>
      </c>
      <c r="D7" s="19">
        <v>50</v>
      </c>
      <c r="E7" s="19">
        <v>150</v>
      </c>
      <c r="F7" s="19">
        <f t="shared" si="0"/>
        <v>200</v>
      </c>
      <c r="G7" s="19">
        <f t="shared" si="1"/>
        <v>3600000</v>
      </c>
      <c r="H7" s="19">
        <f t="shared" si="2"/>
        <v>684931.50684931502</v>
      </c>
      <c r="I7" s="19">
        <v>150000</v>
      </c>
      <c r="J7" s="19">
        <f t="shared" si="3"/>
        <v>30000000</v>
      </c>
      <c r="K7" s="19">
        <v>0</v>
      </c>
      <c r="L7" s="19">
        <f t="shared" si="4"/>
        <v>2400</v>
      </c>
      <c r="M7" s="19">
        <f t="shared" si="5"/>
        <v>14285.388127853883</v>
      </c>
      <c r="N7" s="19">
        <f t="shared" si="6"/>
        <v>180000000</v>
      </c>
      <c r="O7" s="19">
        <f t="shared" si="7"/>
        <v>3600000</v>
      </c>
      <c r="P7" s="19">
        <f t="shared" si="8"/>
        <v>8400000</v>
      </c>
      <c r="Q7" s="19">
        <f t="shared" si="9"/>
        <v>6000000</v>
      </c>
      <c r="R7" s="19">
        <f t="shared" si="10"/>
        <v>7200000</v>
      </c>
      <c r="S7" s="19">
        <f t="shared" si="11"/>
        <v>103200000</v>
      </c>
      <c r="T7" s="19">
        <f t="shared" si="12"/>
        <v>23736000</v>
      </c>
      <c r="U7" s="19">
        <v>36000</v>
      </c>
      <c r="V7" s="19">
        <f t="shared" si="13"/>
        <v>9226</v>
      </c>
      <c r="W7" s="19">
        <f t="shared" si="14"/>
        <v>3526.7082191780823</v>
      </c>
      <c r="X7" s="19">
        <f t="shared" si="15"/>
        <v>27038.096347031966</v>
      </c>
      <c r="Y7" s="19">
        <f t="shared" si="16"/>
        <v>5407619.2694063932</v>
      </c>
      <c r="Z7" s="19">
        <v>3310000</v>
      </c>
      <c r="AA7" s="19">
        <f t="shared" si="17"/>
        <v>2097619.2694063932</v>
      </c>
      <c r="AB7" s="19">
        <f t="shared" si="18"/>
        <v>63.372183365752058</v>
      </c>
      <c r="AC7" s="85"/>
      <c r="AD7" s="85"/>
    </row>
    <row r="8" spans="1:30" s="19" customFormat="1" ht="19.8">
      <c r="A8" s="19">
        <v>6</v>
      </c>
      <c r="B8" s="20" t="s">
        <v>33</v>
      </c>
      <c r="C8" s="19" t="s">
        <v>17</v>
      </c>
      <c r="D8" s="19">
        <v>83.5</v>
      </c>
      <c r="E8" s="19">
        <v>201.5</v>
      </c>
      <c r="F8" s="19">
        <f t="shared" si="0"/>
        <v>285</v>
      </c>
      <c r="G8" s="19">
        <f t="shared" si="1"/>
        <v>3600000</v>
      </c>
      <c r="H8" s="19">
        <f t="shared" si="2"/>
        <v>920091.32420091319</v>
      </c>
      <c r="I8" s="19">
        <v>150000</v>
      </c>
      <c r="J8" s="19">
        <f t="shared" si="3"/>
        <v>42750000</v>
      </c>
      <c r="K8" s="19">
        <v>0</v>
      </c>
      <c r="L8" s="19">
        <f t="shared" si="4"/>
        <v>3420</v>
      </c>
      <c r="M8" s="19">
        <f t="shared" si="5"/>
        <v>13821.664129883307</v>
      </c>
      <c r="N8" s="19">
        <f t="shared" si="6"/>
        <v>180000000</v>
      </c>
      <c r="O8" s="19">
        <f t="shared" si="7"/>
        <v>3600000</v>
      </c>
      <c r="P8" s="19">
        <f t="shared" si="8"/>
        <v>8400000</v>
      </c>
      <c r="Q8" s="19">
        <f t="shared" si="9"/>
        <v>6000000</v>
      </c>
      <c r="R8" s="19">
        <f t="shared" si="10"/>
        <v>7200000</v>
      </c>
      <c r="S8" s="19">
        <f t="shared" si="11"/>
        <v>103200000</v>
      </c>
      <c r="T8" s="19">
        <f t="shared" si="12"/>
        <v>23736000</v>
      </c>
      <c r="U8" s="19">
        <v>36000</v>
      </c>
      <c r="V8" s="19">
        <f t="shared" si="13"/>
        <v>9226</v>
      </c>
      <c r="W8" s="19">
        <f t="shared" si="14"/>
        <v>3457.1496194824958</v>
      </c>
      <c r="X8" s="19">
        <f t="shared" si="15"/>
        <v>26504.8137493658</v>
      </c>
      <c r="Y8" s="19">
        <f t="shared" si="16"/>
        <v>7553871.9185692528</v>
      </c>
      <c r="Z8" s="19">
        <v>4040000</v>
      </c>
      <c r="AA8" s="19">
        <f t="shared" si="17"/>
        <v>3513871.9185692528</v>
      </c>
      <c r="AB8" s="19">
        <f t="shared" si="18"/>
        <v>86.977027687357747</v>
      </c>
      <c r="AC8" s="85"/>
      <c r="AD8" s="85"/>
    </row>
    <row r="9" spans="1:30" s="19" customFormat="1" ht="19.8">
      <c r="A9" s="19">
        <v>7</v>
      </c>
      <c r="B9" s="20" t="s">
        <v>34</v>
      </c>
      <c r="C9" s="19" t="s">
        <v>18</v>
      </c>
      <c r="D9" s="19">
        <v>57.5</v>
      </c>
      <c r="E9" s="19">
        <v>157.5</v>
      </c>
      <c r="F9" s="19">
        <f t="shared" si="0"/>
        <v>215</v>
      </c>
      <c r="G9" s="19">
        <f t="shared" si="1"/>
        <v>3600000</v>
      </c>
      <c r="H9" s="19">
        <f t="shared" si="2"/>
        <v>719178.08219178079</v>
      </c>
      <c r="I9" s="19">
        <v>150000</v>
      </c>
      <c r="J9" s="19">
        <f t="shared" si="3"/>
        <v>32250000</v>
      </c>
      <c r="K9" s="19">
        <v>0</v>
      </c>
      <c r="L9" s="19">
        <f t="shared" si="4"/>
        <v>2580</v>
      </c>
      <c r="M9" s="19">
        <f t="shared" si="5"/>
        <v>14174.100031857279</v>
      </c>
      <c r="N9" s="19">
        <f t="shared" si="6"/>
        <v>180000000</v>
      </c>
      <c r="O9" s="19">
        <f t="shared" si="7"/>
        <v>3600000</v>
      </c>
      <c r="P9" s="19">
        <f t="shared" si="8"/>
        <v>8400000</v>
      </c>
      <c r="Q9" s="19">
        <f t="shared" si="9"/>
        <v>6000000</v>
      </c>
      <c r="R9" s="19">
        <f t="shared" si="10"/>
        <v>7200000</v>
      </c>
      <c r="S9" s="19">
        <f t="shared" si="11"/>
        <v>103200000</v>
      </c>
      <c r="T9" s="19">
        <f t="shared" si="12"/>
        <v>23736000</v>
      </c>
      <c r="U9" s="19">
        <v>36000</v>
      </c>
      <c r="V9" s="19">
        <f t="shared" si="13"/>
        <v>9226</v>
      </c>
      <c r="W9" s="19">
        <f t="shared" si="14"/>
        <v>3510.0150047785914</v>
      </c>
      <c r="X9" s="19">
        <f t="shared" si="15"/>
        <v>26910.115036635867</v>
      </c>
      <c r="Y9" s="19">
        <f t="shared" si="16"/>
        <v>5785674.7328767115</v>
      </c>
      <c r="Z9" s="19">
        <v>3120000</v>
      </c>
      <c r="AA9" s="19">
        <f t="shared" si="17"/>
        <v>2665674.7328767115</v>
      </c>
      <c r="AB9" s="19">
        <f t="shared" si="18"/>
        <v>85.438292720407418</v>
      </c>
      <c r="AC9" s="85"/>
      <c r="AD9" s="85"/>
    </row>
    <row r="10" spans="1:30" s="10" customFormat="1" ht="19.8">
      <c r="A10" s="8">
        <v>8</v>
      </c>
      <c r="B10" s="7" t="s">
        <v>65</v>
      </c>
      <c r="C10" s="23" t="s">
        <v>66</v>
      </c>
      <c r="D10" s="8">
        <v>136</v>
      </c>
      <c r="E10" s="8">
        <v>266</v>
      </c>
      <c r="F10" s="8">
        <f t="shared" ref="F10:F11" si="19">SUM(D10,E10)</f>
        <v>402</v>
      </c>
      <c r="G10" s="8">
        <f>(3/100*(50000000))</f>
        <v>1500000</v>
      </c>
      <c r="H10" s="8">
        <f t="shared" ref="H10" si="20">((200000000)/3)/(365*24)*F10</f>
        <v>3059360.7305936073</v>
      </c>
      <c r="I10" s="8">
        <v>100000</v>
      </c>
      <c r="J10" s="8">
        <f t="shared" si="3"/>
        <v>40200000</v>
      </c>
      <c r="K10" s="8">
        <v>0</v>
      </c>
      <c r="L10" s="8">
        <f t="shared" si="4"/>
        <v>4824</v>
      </c>
      <c r="M10" s="8">
        <f t="shared" ref="M10" si="21">SUM(E10:K10)/L10</f>
        <v>9299.3426058444456</v>
      </c>
      <c r="N10" s="8">
        <f t="shared" si="6"/>
        <v>180000000</v>
      </c>
      <c r="O10" s="8">
        <f t="shared" ref="O10" si="22">12*200000</f>
        <v>2400000</v>
      </c>
      <c r="P10" s="8">
        <f t="shared" ref="P10" si="23">12*600000</f>
        <v>7200000</v>
      </c>
      <c r="Q10" s="8">
        <f t="shared" ref="Q10" si="24">12*400000</f>
        <v>4800000</v>
      </c>
      <c r="R10" s="8">
        <f t="shared" si="10"/>
        <v>7200000</v>
      </c>
      <c r="S10" s="8">
        <f t="shared" ref="S10:S11" si="25">12*6500000</f>
        <v>78000000</v>
      </c>
      <c r="T10" s="8">
        <f t="shared" si="12"/>
        <v>17940000</v>
      </c>
      <c r="U10" s="8">
        <v>36000</v>
      </c>
      <c r="V10" s="8">
        <f t="shared" ref="V10" si="26">SUM(N10:T10)/U10</f>
        <v>8265</v>
      </c>
      <c r="W10" s="8">
        <f t="shared" ref="W10" si="27">15/100*(V10+M10)</f>
        <v>2634.6513908766669</v>
      </c>
      <c r="X10" s="8">
        <f t="shared" si="15"/>
        <v>20198.993996721114</v>
      </c>
      <c r="Y10" s="8">
        <f t="shared" ref="Y10" si="28">X10*F10</f>
        <v>8119995.5866818875</v>
      </c>
      <c r="Z10" s="8">
        <v>5130000</v>
      </c>
      <c r="AA10" s="8">
        <f t="shared" si="17"/>
        <v>2989995.5866818875</v>
      </c>
      <c r="AB10" s="8">
        <f t="shared" si="18"/>
        <v>58.284514360270713</v>
      </c>
    </row>
    <row r="11" spans="1:30" s="28" customFormat="1" ht="24.6">
      <c r="A11" s="28">
        <v>9</v>
      </c>
      <c r="B11" s="29" t="s">
        <v>37</v>
      </c>
      <c r="C11" s="30" t="s">
        <v>36</v>
      </c>
      <c r="D11" s="30">
        <v>60</v>
      </c>
      <c r="E11" s="30">
        <v>70</v>
      </c>
      <c r="F11" s="30">
        <f t="shared" si="19"/>
        <v>130</v>
      </c>
      <c r="G11" s="28">
        <f t="shared" ref="G11" si="29">(3/100*(20000000))</f>
        <v>600000</v>
      </c>
      <c r="H11" s="28">
        <f t="shared" ref="H11" si="30">((6*15000000)/3)/(365*24)*E11</f>
        <v>239726.02739726027</v>
      </c>
      <c r="I11" s="28">
        <v>100000</v>
      </c>
      <c r="J11" s="28">
        <f t="shared" si="3"/>
        <v>13000000</v>
      </c>
      <c r="K11" s="28">
        <v>0</v>
      </c>
      <c r="L11" s="28">
        <f t="shared" si="4"/>
        <v>1560</v>
      </c>
      <c r="M11" s="28">
        <f t="shared" ref="M11" si="31">SUM(E11:K11)/L11</f>
        <v>8935.8500175623467</v>
      </c>
      <c r="N11" s="28">
        <f t="shared" si="6"/>
        <v>180000000</v>
      </c>
      <c r="O11" s="28">
        <f t="shared" ref="O11" si="32">12*300000</f>
        <v>3600000</v>
      </c>
      <c r="P11" s="28">
        <f t="shared" ref="P11" si="33">12*700000</f>
        <v>8400000</v>
      </c>
      <c r="Q11" s="28">
        <f t="shared" ref="P11:R13" si="34">12*500000</f>
        <v>6000000</v>
      </c>
      <c r="R11" s="28">
        <f t="shared" si="10"/>
        <v>7200000</v>
      </c>
      <c r="S11" s="28">
        <f t="shared" si="25"/>
        <v>78000000</v>
      </c>
      <c r="T11" s="28">
        <f t="shared" si="12"/>
        <v>17940000</v>
      </c>
      <c r="U11" s="28">
        <v>36000</v>
      </c>
      <c r="V11" s="28">
        <f t="shared" ref="V11" si="35">SUM(N11:T11)/U11</f>
        <v>8365</v>
      </c>
      <c r="W11" s="28">
        <f t="shared" ref="W11" si="36">15/100*SUM(M11,V11)</f>
        <v>2595.1275026343524</v>
      </c>
      <c r="X11" s="28">
        <f t="shared" si="15"/>
        <v>19895.977520196702</v>
      </c>
      <c r="Y11" s="28">
        <f t="shared" ref="Y11" si="37">F11*X11</f>
        <v>2586477.0776255713</v>
      </c>
      <c r="Z11" s="31">
        <v>1900000</v>
      </c>
      <c r="AA11" s="28">
        <f t="shared" si="17"/>
        <v>686477.07762557128</v>
      </c>
      <c r="AB11" s="28">
        <f t="shared" si="18"/>
        <v>36.130372506609021</v>
      </c>
    </row>
    <row r="12" spans="1:30" s="38" customFormat="1" ht="24.6">
      <c r="A12" s="24">
        <v>10</v>
      </c>
      <c r="B12" s="25" t="s">
        <v>46</v>
      </c>
      <c r="C12" s="26" t="s">
        <v>45</v>
      </c>
      <c r="D12" s="24">
        <v>46</v>
      </c>
      <c r="E12" s="24">
        <v>134</v>
      </c>
      <c r="F12" s="24">
        <f t="shared" ref="F12:F13" si="38">SUM(D12,E12)</f>
        <v>180</v>
      </c>
      <c r="G12" s="24">
        <f t="shared" ref="G12:G13" si="39">(3/100*100000000)</f>
        <v>3000000</v>
      </c>
      <c r="H12" s="24">
        <f t="shared" ref="H12:H13" si="40">((100000000)/3)/(365*24)*E12</f>
        <v>509893.45509893453</v>
      </c>
      <c r="I12" s="24">
        <v>100000</v>
      </c>
      <c r="J12" s="24">
        <f t="shared" ref="J12:J13" si="41">F12*I12</f>
        <v>18000000</v>
      </c>
      <c r="K12" s="24">
        <v>0</v>
      </c>
      <c r="L12" s="24">
        <f t="shared" ref="L12:L13" si="42">12*F12</f>
        <v>2160</v>
      </c>
      <c r="M12" s="24">
        <f t="shared" ref="M12:M13" si="43">SUM(E12:K12)/L12</f>
        <v>10004.725673656914</v>
      </c>
      <c r="N12" s="24">
        <f t="shared" ref="N12:N13" si="44">12*13000000</f>
        <v>156000000</v>
      </c>
      <c r="O12" s="24">
        <f t="shared" ref="O12:O13" si="45">12*200000</f>
        <v>2400000</v>
      </c>
      <c r="P12" s="24">
        <f t="shared" si="34"/>
        <v>6000000</v>
      </c>
      <c r="Q12" s="24">
        <f t="shared" si="34"/>
        <v>6000000</v>
      </c>
      <c r="R12" s="24">
        <f t="shared" si="34"/>
        <v>6000000</v>
      </c>
      <c r="S12" s="24">
        <f>12*8600000</f>
        <v>103200000</v>
      </c>
      <c r="T12" s="24">
        <f t="shared" ref="T12:T13" si="46">23/100*S12</f>
        <v>23736000</v>
      </c>
      <c r="U12" s="24">
        <v>36000</v>
      </c>
      <c r="V12" s="24">
        <f t="shared" ref="V12:V13" si="47">SUM(N12,O12,P12,Q12,R12,S12,T12)/U12</f>
        <v>8426</v>
      </c>
      <c r="W12" s="24">
        <f t="shared" ref="W12:W13" si="48">15/100*SUM(M12,V12)</f>
        <v>2764.608851048537</v>
      </c>
      <c r="X12" s="24">
        <f t="shared" ref="X12:X13" si="49">SUM(M12,V12,W12)</f>
        <v>21195.334524705453</v>
      </c>
      <c r="Y12" s="24">
        <f t="shared" ref="Y12:Y13" si="50">F12*X12</f>
        <v>3815160.2144469814</v>
      </c>
      <c r="Z12" s="27">
        <v>2350000</v>
      </c>
      <c r="AA12" s="24">
        <f t="shared" ref="AA12:AA13" si="51">Y12-Z12</f>
        <v>1465160.2144469814</v>
      </c>
      <c r="AB12" s="24">
        <f t="shared" si="18"/>
        <v>62.347243167956663</v>
      </c>
    </row>
    <row r="13" spans="1:30" s="38" customFormat="1" ht="24.6">
      <c r="A13" s="24">
        <v>11</v>
      </c>
      <c r="B13" s="25" t="s">
        <v>44</v>
      </c>
      <c r="C13" s="24" t="s">
        <v>43</v>
      </c>
      <c r="D13" s="24">
        <v>160</v>
      </c>
      <c r="E13" s="24">
        <v>300</v>
      </c>
      <c r="F13" s="24">
        <f t="shared" si="38"/>
        <v>460</v>
      </c>
      <c r="G13" s="24">
        <f t="shared" si="39"/>
        <v>3000000</v>
      </c>
      <c r="H13" s="24">
        <f t="shared" si="40"/>
        <v>1141552.5114155251</v>
      </c>
      <c r="I13" s="24">
        <v>100000</v>
      </c>
      <c r="J13" s="24">
        <f t="shared" si="41"/>
        <v>46000000</v>
      </c>
      <c r="K13" s="24">
        <v>0</v>
      </c>
      <c r="L13" s="24">
        <f t="shared" si="42"/>
        <v>5520</v>
      </c>
      <c r="M13" s="24">
        <f t="shared" si="43"/>
        <v>9101.868208589769</v>
      </c>
      <c r="N13" s="24">
        <f t="shared" si="44"/>
        <v>156000000</v>
      </c>
      <c r="O13" s="24">
        <f t="shared" si="45"/>
        <v>2400000</v>
      </c>
      <c r="P13" s="24">
        <f t="shared" si="34"/>
        <v>6000000</v>
      </c>
      <c r="Q13" s="24">
        <f t="shared" si="34"/>
        <v>6000000</v>
      </c>
      <c r="R13" s="24">
        <f t="shared" si="34"/>
        <v>6000000</v>
      </c>
      <c r="S13" s="24">
        <f>12*8600000</f>
        <v>103200000</v>
      </c>
      <c r="T13" s="24">
        <f t="shared" si="46"/>
        <v>23736000</v>
      </c>
      <c r="U13" s="24">
        <v>36000</v>
      </c>
      <c r="V13" s="24">
        <f t="shared" si="47"/>
        <v>8426</v>
      </c>
      <c r="W13" s="24">
        <f t="shared" si="48"/>
        <v>2629.1802312884652</v>
      </c>
      <c r="X13" s="24">
        <f t="shared" si="49"/>
        <v>20157.048439878232</v>
      </c>
      <c r="Y13" s="24">
        <f t="shared" si="50"/>
        <v>9272242.2823439874</v>
      </c>
      <c r="Z13" s="27">
        <v>6300000</v>
      </c>
      <c r="AA13" s="24">
        <f t="shared" si="51"/>
        <v>2972242.2823439874</v>
      </c>
      <c r="AB13" s="24">
        <f t="shared" si="18"/>
        <v>47.178448926095037</v>
      </c>
    </row>
    <row r="14" spans="1:30" s="35" customFormat="1" ht="19.8">
      <c r="A14" s="32">
        <v>12</v>
      </c>
      <c r="B14" s="33" t="s">
        <v>62</v>
      </c>
      <c r="C14" s="34" t="s">
        <v>61</v>
      </c>
      <c r="D14" s="35">
        <v>74</v>
      </c>
      <c r="E14" s="35">
        <v>306</v>
      </c>
      <c r="F14" s="35">
        <f t="shared" ref="F14:F21" si="52">SUM(D14,E14)</f>
        <v>380</v>
      </c>
      <c r="G14" s="32">
        <f>3/100*(150000000)</f>
        <v>4500000</v>
      </c>
      <c r="H14" s="32">
        <f>(150000000/5)/(365*24)*F14</f>
        <v>1301369.8630136987</v>
      </c>
      <c r="I14" s="32">
        <v>120000</v>
      </c>
      <c r="J14" s="32">
        <f t="shared" ref="J14:J21" si="53">F14*I14</f>
        <v>45600000</v>
      </c>
      <c r="K14" s="32">
        <v>0</v>
      </c>
      <c r="L14" s="32">
        <f>16*F14</f>
        <v>6080</v>
      </c>
      <c r="M14" s="32">
        <f t="shared" ref="M14:M21" si="54">SUM(K14,J14,H14,G14)/L14</f>
        <v>8454.1726748377787</v>
      </c>
      <c r="N14" s="32">
        <f>12*15000000</f>
        <v>180000000</v>
      </c>
      <c r="O14" s="32">
        <f>12*600000</f>
        <v>7200000</v>
      </c>
      <c r="P14" s="32">
        <f>12*100000</f>
        <v>1200000</v>
      </c>
      <c r="Q14" s="32">
        <f>12*500000</f>
        <v>6000000</v>
      </c>
      <c r="R14" s="32">
        <f>12*600000</f>
        <v>7200000</v>
      </c>
      <c r="S14" s="32">
        <f>12*8600000</f>
        <v>103200000</v>
      </c>
      <c r="T14" s="32">
        <f t="shared" ref="T14:T21" si="55">23/100*S14</f>
        <v>23736000</v>
      </c>
      <c r="U14" s="32">
        <v>36000</v>
      </c>
      <c r="V14" s="32">
        <f t="shared" ref="V14:V21" si="56">SUM(N14:T14)/U14</f>
        <v>9126</v>
      </c>
      <c r="W14" s="32">
        <f t="shared" ref="W14:W21" si="57">15/100*SUM(M14,V14)</f>
        <v>2637.0259012256665</v>
      </c>
      <c r="X14" s="32">
        <f t="shared" ref="X14:X21" si="58">SUM(M14,V14,W14)</f>
        <v>20217.198576063442</v>
      </c>
      <c r="Y14" s="32">
        <f t="shared" ref="Y14:Y21" si="59">F14*X14</f>
        <v>7682535.458904108</v>
      </c>
      <c r="Z14" s="36">
        <v>5290000</v>
      </c>
      <c r="AA14" s="32">
        <f t="shared" ref="AA14:AA21" si="60">Y14-Z14</f>
        <v>2392535.458904108</v>
      </c>
      <c r="AB14" s="32">
        <f t="shared" si="18"/>
        <v>45.2275134008338</v>
      </c>
      <c r="AC14" s="33"/>
    </row>
    <row r="15" spans="1:30" s="35" customFormat="1" ht="19.8">
      <c r="A15" s="32">
        <v>13</v>
      </c>
      <c r="B15" s="33" t="s">
        <v>60</v>
      </c>
      <c r="C15" s="34" t="s">
        <v>59</v>
      </c>
      <c r="D15" s="35">
        <v>24</v>
      </c>
      <c r="E15" s="35">
        <v>36</v>
      </c>
      <c r="F15" s="35">
        <f t="shared" si="52"/>
        <v>60</v>
      </c>
      <c r="G15" s="32">
        <f t="shared" ref="G15:G21" si="61">3/100*(150000000)</f>
        <v>4500000</v>
      </c>
      <c r="H15" s="32">
        <f t="shared" ref="H15:H21" si="62">(150000000/5)/(365*24)*F15</f>
        <v>205479.45205479453</v>
      </c>
      <c r="I15" s="32">
        <v>120000</v>
      </c>
      <c r="J15" s="32">
        <f t="shared" si="53"/>
        <v>7200000</v>
      </c>
      <c r="K15" s="32">
        <v>0</v>
      </c>
      <c r="L15" s="32">
        <f t="shared" ref="L15:L21" si="63">16*F15</f>
        <v>960</v>
      </c>
      <c r="M15" s="32">
        <f t="shared" si="54"/>
        <v>12401.541095890412</v>
      </c>
      <c r="N15" s="32">
        <f t="shared" ref="N15:N21" si="64">12*15000000</f>
        <v>180000000</v>
      </c>
      <c r="O15" s="32">
        <f t="shared" ref="O15:O21" si="65">12*600000</f>
        <v>7200000</v>
      </c>
      <c r="P15" s="32">
        <f t="shared" ref="P15:P21" si="66">12*100000</f>
        <v>1200000</v>
      </c>
      <c r="Q15" s="32">
        <f t="shared" ref="P15:Q22" si="67">12*500000</f>
        <v>6000000</v>
      </c>
      <c r="R15" s="32">
        <f t="shared" ref="R15:R21" si="68">12*600000</f>
        <v>7200000</v>
      </c>
      <c r="S15" s="32">
        <f t="shared" ref="S15:S21" si="69">12*8600000</f>
        <v>103200000</v>
      </c>
      <c r="T15" s="32">
        <f t="shared" si="55"/>
        <v>23736000</v>
      </c>
      <c r="U15" s="32">
        <v>36000</v>
      </c>
      <c r="V15" s="32">
        <f t="shared" si="56"/>
        <v>9126</v>
      </c>
      <c r="W15" s="32">
        <f t="shared" si="57"/>
        <v>3229.1311643835616</v>
      </c>
      <c r="X15" s="32">
        <f t="shared" si="58"/>
        <v>24756.672260273972</v>
      </c>
      <c r="Y15" s="32">
        <f t="shared" si="59"/>
        <v>1485400.3356164384</v>
      </c>
      <c r="Z15" s="36">
        <v>860000</v>
      </c>
      <c r="AA15" s="32">
        <f t="shared" si="60"/>
        <v>625400.33561643842</v>
      </c>
      <c r="AB15" s="32">
        <f t="shared" si="18"/>
        <v>72.7209692577254</v>
      </c>
      <c r="AC15" s="33"/>
    </row>
    <row r="16" spans="1:30" s="35" customFormat="1" ht="19.8">
      <c r="A16" s="32">
        <v>14</v>
      </c>
      <c r="B16" s="33" t="s">
        <v>58</v>
      </c>
      <c r="C16" s="34" t="s">
        <v>57</v>
      </c>
      <c r="D16" s="35">
        <v>83</v>
      </c>
      <c r="E16" s="35">
        <v>240</v>
      </c>
      <c r="F16" s="35">
        <f t="shared" si="52"/>
        <v>323</v>
      </c>
      <c r="G16" s="32">
        <f t="shared" si="61"/>
        <v>4500000</v>
      </c>
      <c r="H16" s="32">
        <f t="shared" si="62"/>
        <v>1106164.3835616438</v>
      </c>
      <c r="I16" s="32">
        <v>120000</v>
      </c>
      <c r="J16" s="32">
        <f t="shared" si="53"/>
        <v>38760000</v>
      </c>
      <c r="K16" s="32">
        <v>0</v>
      </c>
      <c r="L16" s="32">
        <f t="shared" si="63"/>
        <v>5168</v>
      </c>
      <c r="M16" s="32">
        <f t="shared" si="54"/>
        <v>8584.7841299461379</v>
      </c>
      <c r="N16" s="32">
        <f t="shared" si="64"/>
        <v>180000000</v>
      </c>
      <c r="O16" s="32">
        <f t="shared" si="65"/>
        <v>7200000</v>
      </c>
      <c r="P16" s="32">
        <f t="shared" si="66"/>
        <v>1200000</v>
      </c>
      <c r="Q16" s="32">
        <f t="shared" si="67"/>
        <v>6000000</v>
      </c>
      <c r="R16" s="32">
        <f t="shared" si="68"/>
        <v>7200000</v>
      </c>
      <c r="S16" s="32">
        <f t="shared" si="69"/>
        <v>103200000</v>
      </c>
      <c r="T16" s="32">
        <f t="shared" si="55"/>
        <v>23736000</v>
      </c>
      <c r="U16" s="32">
        <v>36000</v>
      </c>
      <c r="V16" s="32">
        <f t="shared" si="56"/>
        <v>9126</v>
      </c>
      <c r="W16" s="32">
        <f t="shared" si="57"/>
        <v>2656.6176194919203</v>
      </c>
      <c r="X16" s="32">
        <f t="shared" si="58"/>
        <v>20367.401749438057</v>
      </c>
      <c r="Y16" s="32">
        <f t="shared" si="59"/>
        <v>6578670.7650684919</v>
      </c>
      <c r="Z16" s="36">
        <v>5170000</v>
      </c>
      <c r="AA16" s="32">
        <f t="shared" si="60"/>
        <v>1408670.7650684919</v>
      </c>
      <c r="AB16" s="32">
        <f t="shared" si="18"/>
        <v>27.247016732465998</v>
      </c>
      <c r="AC16" s="33"/>
    </row>
    <row r="17" spans="1:29" s="35" customFormat="1" ht="19.8">
      <c r="A17" s="32">
        <v>15</v>
      </c>
      <c r="B17" s="33" t="s">
        <v>56</v>
      </c>
      <c r="C17" s="34" t="s">
        <v>55</v>
      </c>
      <c r="D17" s="35">
        <v>28</v>
      </c>
      <c r="E17" s="35">
        <v>100</v>
      </c>
      <c r="F17" s="35">
        <f t="shared" si="52"/>
        <v>128</v>
      </c>
      <c r="G17" s="32">
        <f t="shared" si="61"/>
        <v>4500000</v>
      </c>
      <c r="H17" s="32">
        <f t="shared" si="62"/>
        <v>438356.16438356164</v>
      </c>
      <c r="I17" s="32">
        <v>120000</v>
      </c>
      <c r="J17" s="32">
        <f t="shared" si="53"/>
        <v>15360000</v>
      </c>
      <c r="K17" s="32">
        <v>0</v>
      </c>
      <c r="L17" s="32">
        <f t="shared" si="63"/>
        <v>2048</v>
      </c>
      <c r="M17" s="32">
        <f t="shared" si="54"/>
        <v>9911.3067208904104</v>
      </c>
      <c r="N17" s="32">
        <f t="shared" si="64"/>
        <v>180000000</v>
      </c>
      <c r="O17" s="32">
        <f t="shared" si="65"/>
        <v>7200000</v>
      </c>
      <c r="P17" s="32">
        <f t="shared" si="66"/>
        <v>1200000</v>
      </c>
      <c r="Q17" s="32">
        <f t="shared" si="67"/>
        <v>6000000</v>
      </c>
      <c r="R17" s="32">
        <f t="shared" si="68"/>
        <v>7200000</v>
      </c>
      <c r="S17" s="32">
        <f t="shared" si="69"/>
        <v>103200000</v>
      </c>
      <c r="T17" s="32">
        <f t="shared" si="55"/>
        <v>23736000</v>
      </c>
      <c r="U17" s="32">
        <v>36000</v>
      </c>
      <c r="V17" s="32">
        <f t="shared" si="56"/>
        <v>9126</v>
      </c>
      <c r="W17" s="32">
        <f t="shared" si="57"/>
        <v>2855.5960081335616</v>
      </c>
      <c r="X17" s="32">
        <f t="shared" si="58"/>
        <v>21892.902729023972</v>
      </c>
      <c r="Y17" s="32">
        <f t="shared" si="59"/>
        <v>2802291.5493150684</v>
      </c>
      <c r="Z17" s="36">
        <v>1540000</v>
      </c>
      <c r="AA17" s="32">
        <f t="shared" si="60"/>
        <v>1262291.5493150684</v>
      </c>
      <c r="AB17" s="32">
        <f t="shared" si="18"/>
        <v>81.966983721757686</v>
      </c>
      <c r="AC17" s="33"/>
    </row>
    <row r="18" spans="1:29" s="35" customFormat="1" ht="19.8">
      <c r="A18" s="32">
        <v>16</v>
      </c>
      <c r="B18" s="33" t="s">
        <v>54</v>
      </c>
      <c r="C18" s="37" t="s">
        <v>53</v>
      </c>
      <c r="D18" s="35">
        <v>61</v>
      </c>
      <c r="E18" s="35">
        <v>123</v>
      </c>
      <c r="F18" s="35">
        <f t="shared" si="52"/>
        <v>184</v>
      </c>
      <c r="G18" s="32">
        <f t="shared" si="61"/>
        <v>4500000</v>
      </c>
      <c r="H18" s="32">
        <f t="shared" si="62"/>
        <v>630136.98630136985</v>
      </c>
      <c r="I18" s="32">
        <v>120000</v>
      </c>
      <c r="J18" s="32">
        <f t="shared" si="53"/>
        <v>22080000</v>
      </c>
      <c r="K18" s="32">
        <v>0</v>
      </c>
      <c r="L18" s="32">
        <f t="shared" si="63"/>
        <v>2944</v>
      </c>
      <c r="M18" s="32">
        <f t="shared" si="54"/>
        <v>9242.5737045860624</v>
      </c>
      <c r="N18" s="32">
        <f t="shared" si="64"/>
        <v>180000000</v>
      </c>
      <c r="O18" s="32">
        <f t="shared" si="65"/>
        <v>7200000</v>
      </c>
      <c r="P18" s="32">
        <f t="shared" si="66"/>
        <v>1200000</v>
      </c>
      <c r="Q18" s="32">
        <f t="shared" si="67"/>
        <v>6000000</v>
      </c>
      <c r="R18" s="32">
        <f t="shared" si="68"/>
        <v>7200000</v>
      </c>
      <c r="S18" s="32">
        <f t="shared" si="69"/>
        <v>103200000</v>
      </c>
      <c r="T18" s="32">
        <f t="shared" si="55"/>
        <v>23736000</v>
      </c>
      <c r="U18" s="32">
        <v>36000</v>
      </c>
      <c r="V18" s="32">
        <f t="shared" si="56"/>
        <v>9126</v>
      </c>
      <c r="W18" s="32">
        <f t="shared" si="57"/>
        <v>2755.2860556879091</v>
      </c>
      <c r="X18" s="32">
        <f t="shared" si="58"/>
        <v>21123.859760273972</v>
      </c>
      <c r="Y18" s="32">
        <f t="shared" si="59"/>
        <v>3886790.1958904108</v>
      </c>
      <c r="Z18" s="36">
        <v>2970000</v>
      </c>
      <c r="AA18" s="32">
        <f t="shared" si="60"/>
        <v>916790.1958904108</v>
      </c>
      <c r="AB18" s="32">
        <f t="shared" si="18"/>
        <v>30.868356763986895</v>
      </c>
      <c r="AC18" s="33"/>
    </row>
    <row r="19" spans="1:29" s="35" customFormat="1" ht="19.8">
      <c r="A19" s="32">
        <v>17</v>
      </c>
      <c r="B19" s="33" t="s">
        <v>52</v>
      </c>
      <c r="C19" s="34" t="s">
        <v>51</v>
      </c>
      <c r="D19" s="35">
        <v>42</v>
      </c>
      <c r="E19" s="35">
        <v>156</v>
      </c>
      <c r="F19" s="35">
        <f t="shared" si="52"/>
        <v>198</v>
      </c>
      <c r="G19" s="32">
        <f t="shared" si="61"/>
        <v>4500000</v>
      </c>
      <c r="H19" s="32">
        <f t="shared" si="62"/>
        <v>678082.19178082189</v>
      </c>
      <c r="I19" s="32">
        <v>120000</v>
      </c>
      <c r="J19" s="32">
        <f t="shared" si="53"/>
        <v>23760000</v>
      </c>
      <c r="K19" s="32">
        <v>0</v>
      </c>
      <c r="L19" s="32">
        <f t="shared" si="63"/>
        <v>3168</v>
      </c>
      <c r="M19" s="32">
        <f t="shared" si="54"/>
        <v>9134.4956413449563</v>
      </c>
      <c r="N19" s="32">
        <f t="shared" si="64"/>
        <v>180000000</v>
      </c>
      <c r="O19" s="32">
        <f t="shared" si="65"/>
        <v>7200000</v>
      </c>
      <c r="P19" s="32">
        <f t="shared" si="66"/>
        <v>1200000</v>
      </c>
      <c r="Q19" s="32">
        <f t="shared" si="67"/>
        <v>6000000</v>
      </c>
      <c r="R19" s="32">
        <f t="shared" si="68"/>
        <v>7200000</v>
      </c>
      <c r="S19" s="32">
        <f t="shared" si="69"/>
        <v>103200000</v>
      </c>
      <c r="T19" s="32">
        <f t="shared" si="55"/>
        <v>23736000</v>
      </c>
      <c r="U19" s="32">
        <v>36000</v>
      </c>
      <c r="V19" s="32">
        <f t="shared" si="56"/>
        <v>9126</v>
      </c>
      <c r="W19" s="32">
        <f t="shared" si="57"/>
        <v>2739.0743462017431</v>
      </c>
      <c r="X19" s="32">
        <f t="shared" si="58"/>
        <v>20999.569987546696</v>
      </c>
      <c r="Y19" s="32">
        <f t="shared" si="59"/>
        <v>4157914.8575342461</v>
      </c>
      <c r="Z19" s="36">
        <v>3560000</v>
      </c>
      <c r="AA19" s="32">
        <f t="shared" si="60"/>
        <v>597914.85753424605</v>
      </c>
      <c r="AB19" s="32">
        <f t="shared" si="18"/>
        <v>16.795361166692306</v>
      </c>
      <c r="AC19" s="33"/>
    </row>
    <row r="20" spans="1:29" s="35" customFormat="1" ht="19.8">
      <c r="A20" s="32">
        <v>18</v>
      </c>
      <c r="B20" s="33" t="s">
        <v>50</v>
      </c>
      <c r="C20" s="34" t="s">
        <v>49</v>
      </c>
      <c r="D20" s="35">
        <v>81</v>
      </c>
      <c r="E20" s="35">
        <v>332</v>
      </c>
      <c r="F20" s="35">
        <f t="shared" si="52"/>
        <v>413</v>
      </c>
      <c r="G20" s="32">
        <f t="shared" si="61"/>
        <v>4500000</v>
      </c>
      <c r="H20" s="32">
        <f t="shared" si="62"/>
        <v>1414383.5616438356</v>
      </c>
      <c r="I20" s="32">
        <v>120000</v>
      </c>
      <c r="J20" s="32">
        <f t="shared" si="53"/>
        <v>49560000</v>
      </c>
      <c r="K20" s="32">
        <v>0</v>
      </c>
      <c r="L20" s="32">
        <f t="shared" si="63"/>
        <v>6608</v>
      </c>
      <c r="M20" s="32">
        <f t="shared" si="54"/>
        <v>8395.033831967894</v>
      </c>
      <c r="N20" s="32">
        <f t="shared" si="64"/>
        <v>180000000</v>
      </c>
      <c r="O20" s="32">
        <f t="shared" si="65"/>
        <v>7200000</v>
      </c>
      <c r="P20" s="32">
        <f t="shared" si="66"/>
        <v>1200000</v>
      </c>
      <c r="Q20" s="32">
        <f t="shared" si="67"/>
        <v>6000000</v>
      </c>
      <c r="R20" s="32">
        <f t="shared" si="68"/>
        <v>7200000</v>
      </c>
      <c r="S20" s="32">
        <f t="shared" si="69"/>
        <v>103200000</v>
      </c>
      <c r="T20" s="32">
        <f t="shared" si="55"/>
        <v>23736000</v>
      </c>
      <c r="U20" s="32">
        <v>36000</v>
      </c>
      <c r="V20" s="32">
        <f t="shared" si="56"/>
        <v>9126</v>
      </c>
      <c r="W20" s="32">
        <f t="shared" si="57"/>
        <v>2628.1550747951837</v>
      </c>
      <c r="X20" s="32">
        <f t="shared" si="58"/>
        <v>20149.188906763076</v>
      </c>
      <c r="Y20" s="32">
        <f t="shared" si="59"/>
        <v>8321615.0184931504</v>
      </c>
      <c r="Z20" s="36">
        <v>5290000</v>
      </c>
      <c r="AA20" s="32">
        <f t="shared" si="60"/>
        <v>3031615.0184931504</v>
      </c>
      <c r="AB20" s="32">
        <f t="shared" si="18"/>
        <v>57.308412447885644</v>
      </c>
      <c r="AC20" s="33"/>
    </row>
    <row r="21" spans="1:29" s="35" customFormat="1" ht="19.8">
      <c r="A21" s="32">
        <v>19</v>
      </c>
      <c r="B21" s="33" t="s">
        <v>48</v>
      </c>
      <c r="C21" s="34" t="s">
        <v>47</v>
      </c>
      <c r="D21" s="35">
        <v>56</v>
      </c>
      <c r="E21" s="35">
        <v>234</v>
      </c>
      <c r="F21" s="35">
        <f t="shared" si="52"/>
        <v>290</v>
      </c>
      <c r="G21" s="32">
        <f t="shared" si="61"/>
        <v>4500000</v>
      </c>
      <c r="H21" s="32">
        <f t="shared" si="62"/>
        <v>993150.68493150687</v>
      </c>
      <c r="I21" s="32">
        <v>120000</v>
      </c>
      <c r="J21" s="32">
        <f t="shared" si="53"/>
        <v>34800000</v>
      </c>
      <c r="K21" s="32">
        <v>0</v>
      </c>
      <c r="L21" s="32">
        <f t="shared" si="63"/>
        <v>4640</v>
      </c>
      <c r="M21" s="32">
        <f t="shared" si="54"/>
        <v>8683.8686820973089</v>
      </c>
      <c r="N21" s="32">
        <f t="shared" si="64"/>
        <v>180000000</v>
      </c>
      <c r="O21" s="32">
        <f t="shared" si="65"/>
        <v>7200000</v>
      </c>
      <c r="P21" s="32">
        <f t="shared" si="66"/>
        <v>1200000</v>
      </c>
      <c r="Q21" s="32">
        <f t="shared" si="67"/>
        <v>6000000</v>
      </c>
      <c r="R21" s="32">
        <f t="shared" si="68"/>
        <v>7200000</v>
      </c>
      <c r="S21" s="32">
        <f t="shared" si="69"/>
        <v>103200000</v>
      </c>
      <c r="T21" s="32">
        <f t="shared" si="55"/>
        <v>23736000</v>
      </c>
      <c r="U21" s="32">
        <v>36000</v>
      </c>
      <c r="V21" s="32">
        <f t="shared" si="56"/>
        <v>9126</v>
      </c>
      <c r="W21" s="32">
        <f t="shared" si="57"/>
        <v>2671.4803023145964</v>
      </c>
      <c r="X21" s="32">
        <f t="shared" si="58"/>
        <v>20481.348984411907</v>
      </c>
      <c r="Y21" s="32">
        <f t="shared" si="59"/>
        <v>5939591.2054794533</v>
      </c>
      <c r="Z21" s="36">
        <v>4730000</v>
      </c>
      <c r="AA21" s="32">
        <f t="shared" si="60"/>
        <v>1209591.2054794533</v>
      </c>
      <c r="AB21" s="32">
        <f t="shared" si="18"/>
        <v>25.572752758550809</v>
      </c>
      <c r="AC21" s="33"/>
    </row>
    <row r="22" spans="1:29" s="15" customFormat="1" ht="19.8">
      <c r="A22" s="11">
        <v>20</v>
      </c>
      <c r="B22" s="14" t="s">
        <v>64</v>
      </c>
      <c r="C22" s="15" t="s">
        <v>63</v>
      </c>
      <c r="D22" s="11">
        <v>24</v>
      </c>
      <c r="E22" s="11">
        <v>426</v>
      </c>
      <c r="F22" s="11">
        <f t="shared" ref="F22" si="70">D22+E22</f>
        <v>450</v>
      </c>
      <c r="G22" s="11">
        <f t="shared" ref="G22" si="71">(3/100*150000000)</f>
        <v>4500000</v>
      </c>
      <c r="H22" s="11">
        <f t="shared" ref="H22" si="72">((150000000)/3)/(365*24)*F22</f>
        <v>2568493.1506849313</v>
      </c>
      <c r="I22" s="11">
        <v>80000</v>
      </c>
      <c r="J22" s="11">
        <f t="shared" ref="J22" si="73">F22*I22</f>
        <v>36000000</v>
      </c>
      <c r="K22" s="11">
        <v>0</v>
      </c>
      <c r="L22" s="11">
        <f t="shared" ref="L22" si="74">12*F22</f>
        <v>5400</v>
      </c>
      <c r="M22" s="11">
        <f t="shared" ref="M22" si="75">SUM(E22:K22)/L22</f>
        <v>7990.6239167935055</v>
      </c>
      <c r="N22" s="11">
        <f t="shared" ref="N22" si="76">12*14000000</f>
        <v>168000000</v>
      </c>
      <c r="O22" s="11">
        <f t="shared" ref="O22" si="77">12*400000</f>
        <v>4800000</v>
      </c>
      <c r="P22" s="11">
        <f t="shared" si="67"/>
        <v>6000000</v>
      </c>
      <c r="Q22" s="11">
        <f t="shared" ref="Q22" si="78">12*300000</f>
        <v>3600000</v>
      </c>
      <c r="R22" s="11">
        <f t="shared" ref="R22" si="79">12*600000</f>
        <v>7200000</v>
      </c>
      <c r="S22" s="11">
        <f t="shared" ref="S22" si="80">12*8600000</f>
        <v>103200000</v>
      </c>
      <c r="T22" s="11">
        <f t="shared" ref="T22" si="81">23/100*S22</f>
        <v>23736000</v>
      </c>
      <c r="U22" s="11">
        <v>36000</v>
      </c>
      <c r="V22" s="11">
        <f t="shared" ref="V22" si="82">SUM(N22:T22)/U22</f>
        <v>8792.6666666666661</v>
      </c>
      <c r="W22" s="11">
        <f t="shared" ref="W22" si="83">15/100*SUM(M22,V22)</f>
        <v>2517.4935875190254</v>
      </c>
      <c r="X22" s="11">
        <f t="shared" ref="X22" si="84">SUM(M22,V22,W22)</f>
        <v>19300.784170979194</v>
      </c>
      <c r="Y22" s="11">
        <f t="shared" ref="Y22" si="85">F22*X22</f>
        <v>8685352.8769406378</v>
      </c>
      <c r="Z22" s="13">
        <v>5530000</v>
      </c>
      <c r="AA22" s="11">
        <f t="shared" ref="AA22" si="86">Y22-Z22</f>
        <v>3155352.8769406378</v>
      </c>
      <c r="AB22" s="11">
        <f t="shared" si="18"/>
        <v>57.058822367823467</v>
      </c>
    </row>
  </sheetData>
  <mergeCells count="13">
    <mergeCell ref="AC3:AD9"/>
    <mergeCell ref="A1:A2"/>
    <mergeCell ref="X1:X2"/>
    <mergeCell ref="Y1:Y2"/>
    <mergeCell ref="Z1:Z2"/>
    <mergeCell ref="AA1:AA2"/>
    <mergeCell ref="AB1:AB2"/>
    <mergeCell ref="B1:B2"/>
    <mergeCell ref="C1:C2"/>
    <mergeCell ref="D1:F1"/>
    <mergeCell ref="G1:M1"/>
    <mergeCell ref="N1:U1"/>
    <mergeCell ref="W1:W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rightToLeft="1" workbookViewId="0"/>
  </sheetViews>
  <sheetFormatPr defaultRowHeight="14.4"/>
  <cols>
    <col min="1" max="1" width="5.09765625" customWidth="1"/>
    <col min="2" max="2" width="31.59765625" customWidth="1"/>
    <col min="3" max="3" width="11.3984375" customWidth="1"/>
  </cols>
  <sheetData>
    <row r="1" spans="1:5" ht="19.8">
      <c r="A1" s="19">
        <v>1</v>
      </c>
      <c r="B1" s="20" t="s">
        <v>28</v>
      </c>
      <c r="C1" s="19">
        <v>-0.55879741055429188</v>
      </c>
      <c r="D1" s="19">
        <v>15</v>
      </c>
      <c r="E1" s="19">
        <v>-2.3023979731422028</v>
      </c>
    </row>
    <row r="2" spans="1:5" ht="19.8">
      <c r="A2" s="19">
        <v>2</v>
      </c>
      <c r="B2" s="20" t="s">
        <v>30</v>
      </c>
      <c r="C2" s="19">
        <v>14.834503332808474</v>
      </c>
      <c r="D2" s="19">
        <v>15</v>
      </c>
      <c r="E2" s="19">
        <v>13.28354547840234</v>
      </c>
    </row>
    <row r="3" spans="1:5" ht="19.8">
      <c r="A3" s="19">
        <v>3</v>
      </c>
      <c r="B3" s="21" t="s">
        <v>24</v>
      </c>
      <c r="C3" s="22">
        <v>52.662468634120927</v>
      </c>
      <c r="D3" s="19">
        <v>15</v>
      </c>
      <c r="E3" s="22">
        <v>50.002289663203712</v>
      </c>
    </row>
    <row r="4" spans="1:5" ht="19.8">
      <c r="A4" s="19">
        <v>4</v>
      </c>
      <c r="B4" s="20" t="s">
        <v>32</v>
      </c>
      <c r="C4" s="19">
        <v>-24.822700528350737</v>
      </c>
      <c r="D4" s="19">
        <v>15</v>
      </c>
      <c r="E4" s="19">
        <v>-25.961685202680247</v>
      </c>
    </row>
    <row r="5" spans="1:5" ht="19.8">
      <c r="A5" s="19">
        <v>5</v>
      </c>
      <c r="B5" s="20" t="s">
        <v>22</v>
      </c>
      <c r="C5" s="19">
        <v>34.41951468498668</v>
      </c>
      <c r="D5" s="19">
        <v>15</v>
      </c>
      <c r="E5" s="19">
        <v>31.871679841079342</v>
      </c>
    </row>
    <row r="6" spans="1:5" ht="19.8">
      <c r="A6" s="19">
        <v>6</v>
      </c>
      <c r="B6" s="20" t="s">
        <v>33</v>
      </c>
      <c r="C6" s="19">
        <v>53.174428677456795</v>
      </c>
      <c r="D6" s="19">
        <v>15</v>
      </c>
      <c r="E6" s="19">
        <v>50.19979996458553</v>
      </c>
    </row>
    <row r="7" spans="1:5" ht="19.8">
      <c r="A7" s="19">
        <v>7</v>
      </c>
      <c r="B7" s="20" t="s">
        <v>34</v>
      </c>
      <c r="C7" s="19">
        <v>52.418794857159604</v>
      </c>
      <c r="D7" s="19">
        <v>15</v>
      </c>
      <c r="E7" s="19">
        <v>49.513079045193798</v>
      </c>
    </row>
    <row r="8" spans="1:5" ht="19.8">
      <c r="A8" s="8">
        <v>8</v>
      </c>
      <c r="B8" s="7" t="s">
        <v>65</v>
      </c>
      <c r="C8" s="8">
        <v>43.227659259555935</v>
      </c>
      <c r="D8" s="19">
        <v>15</v>
      </c>
      <c r="E8" s="8">
        <v>40.824540351173866</v>
      </c>
    </row>
    <row r="9" spans="1:5" ht="24.6">
      <c r="A9" s="28">
        <v>9</v>
      </c>
      <c r="B9" s="29" t="s">
        <v>37</v>
      </c>
      <c r="C9" s="28">
        <v>36.130372506609021</v>
      </c>
      <c r="D9" s="19">
        <v>15</v>
      </c>
      <c r="E9" s="28">
        <v>33.245284787310752</v>
      </c>
    </row>
    <row r="10" spans="1:5" ht="24.6">
      <c r="A10" s="24">
        <v>10</v>
      </c>
      <c r="B10" s="25" t="s">
        <v>46</v>
      </c>
      <c r="C10" s="24">
        <v>62.347243167956663</v>
      </c>
      <c r="D10" s="38">
        <v>20</v>
      </c>
      <c r="E10" s="24">
        <v>59.557881465828949</v>
      </c>
    </row>
    <row r="11" spans="1:5" ht="24.6">
      <c r="A11" s="24">
        <v>11</v>
      </c>
      <c r="B11" s="25" t="s">
        <v>44</v>
      </c>
      <c r="C11" s="24">
        <v>47.178448926095037</v>
      </c>
      <c r="D11" s="19">
        <v>20</v>
      </c>
      <c r="E11" s="24">
        <v>44.519454217100339</v>
      </c>
    </row>
    <row r="12" spans="1:5" ht="19.8">
      <c r="A12" s="32">
        <v>12</v>
      </c>
      <c r="B12" s="33" t="s">
        <v>62</v>
      </c>
      <c r="C12" s="32">
        <v>45.2275134008338</v>
      </c>
      <c r="D12" s="19">
        <v>12</v>
      </c>
      <c r="E12" s="32">
        <v>42.886933690688906</v>
      </c>
    </row>
    <row r="13" spans="1:5" ht="19.8">
      <c r="A13" s="32">
        <v>13</v>
      </c>
      <c r="B13" s="33" t="s">
        <v>60</v>
      </c>
      <c r="C13" s="32">
        <v>72.7209692577254</v>
      </c>
      <c r="D13" s="35">
        <v>74</v>
      </c>
      <c r="E13" s="32">
        <v>70.447713443771903</v>
      </c>
    </row>
    <row r="14" spans="1:5" ht="19.8">
      <c r="A14" s="32">
        <v>14</v>
      </c>
      <c r="B14" s="33" t="s">
        <v>58</v>
      </c>
      <c r="C14" s="32">
        <v>27.247016732465998</v>
      </c>
      <c r="D14" s="35">
        <v>12</v>
      </c>
      <c r="E14" s="32">
        <v>25.211346197327387</v>
      </c>
    </row>
    <row r="15" spans="1:5" ht="19.8">
      <c r="A15" s="32">
        <v>15</v>
      </c>
      <c r="B15" s="33" t="s">
        <v>56</v>
      </c>
      <c r="C15" s="32">
        <v>81.966983721757686</v>
      </c>
      <c r="D15" s="35">
        <v>12</v>
      </c>
      <c r="E15" s="32">
        <v>79.258758613532564</v>
      </c>
    </row>
    <row r="16" spans="1:5" ht="19.8">
      <c r="A16" s="32">
        <v>16</v>
      </c>
      <c r="B16" s="33" t="s">
        <v>54</v>
      </c>
      <c r="C16" s="32">
        <v>21.962632858262992</v>
      </c>
      <c r="D16" s="35"/>
      <c r="E16" s="32">
        <v>19.944002106298914</v>
      </c>
    </row>
    <row r="17" spans="1:5" ht="19.8">
      <c r="A17" s="32">
        <v>17</v>
      </c>
      <c r="B17" s="33" t="s">
        <v>52</v>
      </c>
      <c r="C17" s="32">
        <v>16.795361166692306</v>
      </c>
      <c r="D17" s="35">
        <v>25</v>
      </c>
      <c r="E17" s="32">
        <v>14.98314206556871</v>
      </c>
    </row>
    <row r="18" spans="1:5" ht="19.8">
      <c r="A18" s="32">
        <v>18</v>
      </c>
      <c r="B18" s="33" t="s">
        <v>50</v>
      </c>
      <c r="C18" s="32">
        <v>57.308412447885644</v>
      </c>
      <c r="D18" s="35">
        <v>42</v>
      </c>
      <c r="E18" s="32">
        <v>54.764571868175501</v>
      </c>
    </row>
    <row r="19" spans="1:5" ht="19.8">
      <c r="A19" s="32">
        <v>19</v>
      </c>
      <c r="B19" s="33" t="s">
        <v>48</v>
      </c>
      <c r="C19" s="32">
        <v>25.572752758550809</v>
      </c>
      <c r="D19" s="35">
        <v>12</v>
      </c>
      <c r="E19" s="32">
        <v>23.575043103864367</v>
      </c>
    </row>
    <row r="20" spans="1:5" ht="19.8">
      <c r="A20" s="11">
        <v>20</v>
      </c>
      <c r="B20" s="14" t="s">
        <v>64</v>
      </c>
      <c r="C20" s="11">
        <v>57.058822367823467</v>
      </c>
      <c r="D20" s="15">
        <v>20</v>
      </c>
      <c r="E20" s="11">
        <v>53.783505912127268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rightToLeft="1" topLeftCell="B67" workbookViewId="0">
      <pane xSplit="1" topLeftCell="C1" activePane="topRight" state="frozen"/>
      <selection activeCell="B1" sqref="B1"/>
      <selection pane="topRight" activeCell="A10" sqref="A10"/>
    </sheetView>
  </sheetViews>
  <sheetFormatPr defaultColWidth="9" defaultRowHeight="14.4"/>
  <cols>
    <col min="1" max="1" width="6.3984375" style="16" customWidth="1"/>
    <col min="2" max="2" width="31.09765625" style="17" bestFit="1" customWidth="1"/>
    <col min="3" max="3" width="12.59765625" style="16" bestFit="1" customWidth="1"/>
    <col min="4" max="6" width="9" style="16"/>
    <col min="7" max="7" width="10.59765625" style="16" customWidth="1"/>
    <col min="8" max="9" width="9" style="16"/>
    <col min="10" max="10" width="11.09765625" style="16" bestFit="1" customWidth="1"/>
    <col min="11" max="13" width="9" style="16"/>
    <col min="14" max="14" width="10.3984375" style="16" customWidth="1"/>
    <col min="15" max="15" width="9" style="16"/>
    <col min="16" max="16" width="9.59765625" style="16" bestFit="1" customWidth="1"/>
    <col min="17" max="18" width="9" style="16"/>
    <col min="19" max="19" width="10.59765625" style="16" bestFit="1" customWidth="1"/>
    <col min="20" max="20" width="9.59765625" style="16" bestFit="1" customWidth="1"/>
    <col min="21" max="16384" width="9" style="16"/>
  </cols>
  <sheetData>
    <row r="1" spans="1:30" s="2" customFormat="1" ht="21" customHeight="1">
      <c r="A1" s="86" t="s">
        <v>70</v>
      </c>
      <c r="B1" s="91" t="s">
        <v>0</v>
      </c>
      <c r="C1" s="93" t="s">
        <v>16</v>
      </c>
      <c r="D1" s="95" t="s">
        <v>1</v>
      </c>
      <c r="E1" s="96"/>
      <c r="F1" s="97"/>
      <c r="G1" s="98" t="s">
        <v>2</v>
      </c>
      <c r="H1" s="98"/>
      <c r="I1" s="98"/>
      <c r="J1" s="98"/>
      <c r="K1" s="98"/>
      <c r="L1" s="98"/>
      <c r="M1" s="98"/>
      <c r="N1" s="99" t="s">
        <v>3</v>
      </c>
      <c r="O1" s="99"/>
      <c r="P1" s="99"/>
      <c r="Q1" s="99"/>
      <c r="R1" s="99"/>
      <c r="S1" s="99"/>
      <c r="T1" s="99"/>
      <c r="U1" s="99"/>
      <c r="V1" s="18"/>
      <c r="W1" s="100" t="s">
        <v>40</v>
      </c>
      <c r="X1" s="87" t="s">
        <v>38</v>
      </c>
      <c r="Y1" s="89" t="s">
        <v>68</v>
      </c>
      <c r="Z1" s="89" t="s">
        <v>67</v>
      </c>
      <c r="AA1" s="87" t="s">
        <v>38</v>
      </c>
      <c r="AB1" s="87" t="s">
        <v>39</v>
      </c>
      <c r="AC1" s="87" t="s">
        <v>69</v>
      </c>
      <c r="AD1" s="102" t="s">
        <v>71</v>
      </c>
    </row>
    <row r="2" spans="1:30" s="2" customFormat="1" ht="79.2">
      <c r="A2" s="86"/>
      <c r="B2" s="92"/>
      <c r="C2" s="94"/>
      <c r="D2" s="3" t="s">
        <v>25</v>
      </c>
      <c r="E2" s="3" t="s">
        <v>26</v>
      </c>
      <c r="F2" s="3" t="s">
        <v>27</v>
      </c>
      <c r="G2" s="6" t="s">
        <v>7</v>
      </c>
      <c r="H2" s="6" t="s">
        <v>11</v>
      </c>
      <c r="I2" s="6" t="s">
        <v>23</v>
      </c>
      <c r="J2" s="6" t="s">
        <v>35</v>
      </c>
      <c r="K2" s="6" t="s">
        <v>8</v>
      </c>
      <c r="L2" s="6" t="s">
        <v>9</v>
      </c>
      <c r="M2" s="4" t="s">
        <v>42</v>
      </c>
      <c r="N2" s="5" t="s">
        <v>10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4</v>
      </c>
      <c r="T2" s="5" t="s">
        <v>5</v>
      </c>
      <c r="U2" s="5" t="s">
        <v>6</v>
      </c>
      <c r="V2" s="5" t="s">
        <v>41</v>
      </c>
      <c r="W2" s="101"/>
      <c r="X2" s="88"/>
      <c r="Y2" s="90"/>
      <c r="Z2" s="90"/>
      <c r="AA2" s="88"/>
      <c r="AB2" s="88"/>
      <c r="AC2" s="88"/>
      <c r="AD2" s="102"/>
    </row>
    <row r="3" spans="1:30" s="19" customFormat="1" ht="19.8">
      <c r="A3" s="19">
        <v>1</v>
      </c>
      <c r="B3" s="20" t="s">
        <v>28</v>
      </c>
      <c r="C3" s="19" t="s">
        <v>29</v>
      </c>
      <c r="D3" s="19">
        <v>23</v>
      </c>
      <c r="E3" s="19">
        <v>75</v>
      </c>
      <c r="F3" s="19">
        <f t="shared" ref="F3:F9" si="0">D3+E3</f>
        <v>98</v>
      </c>
      <c r="G3" s="19">
        <f t="shared" ref="G3:G9" si="1">(3/100*(6*20000000))</f>
        <v>3600000</v>
      </c>
      <c r="H3" s="19">
        <f t="shared" ref="H3:H9" si="2">((6*20000000)/3)/(365*24)*E3</f>
        <v>342465.75342465751</v>
      </c>
      <c r="I3" s="19">
        <v>100000</v>
      </c>
      <c r="J3" s="19">
        <f t="shared" ref="J3:J22" si="3">F3*I3</f>
        <v>9800000</v>
      </c>
      <c r="K3" s="19">
        <v>0</v>
      </c>
      <c r="L3" s="19">
        <f t="shared" ref="L3:L13" si="4">12*F3</f>
        <v>1176</v>
      </c>
      <c r="M3" s="19">
        <f t="shared" ref="M3:M9" si="5">(G3+H3+J3+K3)/L3</f>
        <v>11685.770198490354</v>
      </c>
      <c r="N3" s="19">
        <f t="shared" ref="N3:N11" si="6">12*15000000</f>
        <v>180000000</v>
      </c>
      <c r="O3" s="19">
        <f>12*100000</f>
        <v>1200000</v>
      </c>
      <c r="P3" s="19">
        <f>12*250000</f>
        <v>3000000</v>
      </c>
      <c r="Q3" s="19">
        <f>12*350000</f>
        <v>4200000</v>
      </c>
      <c r="R3" s="19">
        <f>12*300000</f>
        <v>3600000</v>
      </c>
      <c r="S3" s="19">
        <f t="shared" ref="S3:S9" si="7">12*8600000</f>
        <v>103200000</v>
      </c>
      <c r="T3" s="19">
        <f t="shared" ref="T3:T22" si="8">23/100*S3</f>
        <v>23736000</v>
      </c>
      <c r="U3" s="19">
        <v>36000</v>
      </c>
      <c r="V3" s="19">
        <f t="shared" ref="V3:V9" si="9">SUM(N3:T3)/U3</f>
        <v>8859.3333333333339</v>
      </c>
      <c r="W3" s="19">
        <f t="shared" ref="W3:W9" si="10">15/100*SUM(M3,V3)</f>
        <v>3081.7655297735532</v>
      </c>
      <c r="X3" s="19">
        <f t="shared" ref="X3:X22" si="11">SUM(M3,V3,W3)</f>
        <v>23626.869061597245</v>
      </c>
      <c r="Y3" s="19">
        <f t="shared" ref="Y3:Y9" si="12">F3*X3</f>
        <v>2315433.1680365298</v>
      </c>
      <c r="Z3" s="19">
        <v>2370000</v>
      </c>
      <c r="AA3" s="19">
        <f t="shared" ref="AA3:AA9" si="13">Y3/F3</f>
        <v>23626.869061597245</v>
      </c>
      <c r="AB3" s="19">
        <f t="shared" ref="AB3:AB22" si="14">Y3-Z3</f>
        <v>-54566.831963470206</v>
      </c>
      <c r="AC3" s="19">
        <f t="shared" ref="AC3:AC22" si="15">100*AB3/Z3</f>
        <v>-2.3023979731422028</v>
      </c>
    </row>
    <row r="4" spans="1:30" s="19" customFormat="1" ht="19.8">
      <c r="A4" s="19">
        <v>2</v>
      </c>
      <c r="B4" s="20" t="s">
        <v>30</v>
      </c>
      <c r="C4" s="19" t="s">
        <v>20</v>
      </c>
      <c r="D4" s="19">
        <v>14</v>
      </c>
      <c r="E4" s="19">
        <v>18</v>
      </c>
      <c r="F4" s="19">
        <f t="shared" si="0"/>
        <v>32</v>
      </c>
      <c r="G4" s="19">
        <f t="shared" si="1"/>
        <v>3600000</v>
      </c>
      <c r="H4" s="19">
        <f t="shared" si="2"/>
        <v>82191.780821917797</v>
      </c>
      <c r="I4" s="19">
        <v>100000</v>
      </c>
      <c r="J4" s="19">
        <f t="shared" si="3"/>
        <v>3200000</v>
      </c>
      <c r="K4" s="19">
        <v>0</v>
      </c>
      <c r="L4" s="19">
        <f t="shared" si="4"/>
        <v>384</v>
      </c>
      <c r="M4" s="19">
        <f t="shared" si="5"/>
        <v>17922.374429223742</v>
      </c>
      <c r="N4" s="19">
        <f t="shared" si="6"/>
        <v>180000000</v>
      </c>
      <c r="O4" s="19">
        <f t="shared" ref="O4:O13" si="16">12*100000</f>
        <v>1200000</v>
      </c>
      <c r="P4" s="19">
        <f t="shared" ref="P4:P11" si="17">12*250000</f>
        <v>3000000</v>
      </c>
      <c r="Q4" s="19">
        <f t="shared" ref="Q4:Q21" si="18">12*350000</f>
        <v>4200000</v>
      </c>
      <c r="R4" s="19">
        <f t="shared" ref="R4:R11" si="19">12*300000</f>
        <v>3600000</v>
      </c>
      <c r="S4" s="19">
        <f t="shared" si="7"/>
        <v>103200000</v>
      </c>
      <c r="T4" s="19">
        <f t="shared" si="8"/>
        <v>23736000</v>
      </c>
      <c r="U4" s="19">
        <v>36000</v>
      </c>
      <c r="V4" s="19">
        <f t="shared" si="9"/>
        <v>8859.3333333333339</v>
      </c>
      <c r="W4" s="19">
        <f t="shared" si="10"/>
        <v>4017.2561643835611</v>
      </c>
      <c r="X4" s="19">
        <f t="shared" si="11"/>
        <v>30798.963926940636</v>
      </c>
      <c r="Y4" s="19">
        <f t="shared" si="12"/>
        <v>985566.84566210036</v>
      </c>
      <c r="Z4" s="19">
        <v>870000</v>
      </c>
      <c r="AA4" s="19">
        <f t="shared" si="13"/>
        <v>30798.963926940636</v>
      </c>
      <c r="AB4" s="19">
        <f t="shared" si="14"/>
        <v>115566.84566210036</v>
      </c>
      <c r="AC4" s="19">
        <f t="shared" si="15"/>
        <v>13.28354547840234</v>
      </c>
    </row>
    <row r="5" spans="1:30" s="22" customFormat="1" ht="19.8">
      <c r="A5" s="19">
        <v>3</v>
      </c>
      <c r="B5" s="21" t="s">
        <v>24</v>
      </c>
      <c r="C5" s="22" t="s">
        <v>31</v>
      </c>
      <c r="D5" s="22">
        <v>22</v>
      </c>
      <c r="E5" s="22">
        <v>72</v>
      </c>
      <c r="F5" s="22">
        <f t="shared" si="0"/>
        <v>94</v>
      </c>
      <c r="G5" s="22">
        <f t="shared" si="1"/>
        <v>3600000</v>
      </c>
      <c r="H5" s="22">
        <f t="shared" si="2"/>
        <v>328767.12328767119</v>
      </c>
      <c r="I5" s="22">
        <v>100000</v>
      </c>
      <c r="J5" s="22">
        <f t="shared" si="3"/>
        <v>9400000</v>
      </c>
      <c r="K5" s="22">
        <v>0</v>
      </c>
      <c r="L5" s="22">
        <f t="shared" si="4"/>
        <v>1128</v>
      </c>
      <c r="M5" s="22">
        <f t="shared" si="5"/>
        <v>11816.28291071602</v>
      </c>
      <c r="N5" s="22">
        <f t="shared" si="6"/>
        <v>180000000</v>
      </c>
      <c r="O5" s="19">
        <f t="shared" si="16"/>
        <v>1200000</v>
      </c>
      <c r="P5" s="19">
        <f t="shared" si="17"/>
        <v>3000000</v>
      </c>
      <c r="Q5" s="19">
        <f t="shared" si="18"/>
        <v>4200000</v>
      </c>
      <c r="R5" s="19">
        <f t="shared" si="19"/>
        <v>3600000</v>
      </c>
      <c r="S5" s="22">
        <f t="shared" si="7"/>
        <v>103200000</v>
      </c>
      <c r="T5" s="22">
        <f t="shared" si="8"/>
        <v>23736000</v>
      </c>
      <c r="U5" s="22">
        <v>36000</v>
      </c>
      <c r="V5" s="22">
        <f t="shared" si="9"/>
        <v>8859.3333333333339</v>
      </c>
      <c r="W5" s="22">
        <f t="shared" si="10"/>
        <v>3101.3424366074028</v>
      </c>
      <c r="X5" s="22">
        <f t="shared" si="11"/>
        <v>23776.958680656757</v>
      </c>
      <c r="Y5" s="22">
        <f t="shared" si="12"/>
        <v>2235034.1159817353</v>
      </c>
      <c r="Z5" s="22">
        <v>1490000</v>
      </c>
      <c r="AA5" s="22">
        <f t="shared" si="13"/>
        <v>23776.958680656757</v>
      </c>
      <c r="AB5" s="22">
        <f t="shared" si="14"/>
        <v>745034.11598173529</v>
      </c>
      <c r="AC5" s="22">
        <f t="shared" si="15"/>
        <v>50.002289663203712</v>
      </c>
    </row>
    <row r="6" spans="1:30" s="19" customFormat="1" ht="19.8">
      <c r="A6" s="19">
        <v>4</v>
      </c>
      <c r="B6" s="20" t="s">
        <v>32</v>
      </c>
      <c r="C6" s="19" t="s">
        <v>21</v>
      </c>
      <c r="D6" s="19">
        <v>15</v>
      </c>
      <c r="E6" s="19">
        <v>32</v>
      </c>
      <c r="F6" s="19">
        <f t="shared" si="0"/>
        <v>47</v>
      </c>
      <c r="G6" s="19">
        <f t="shared" si="1"/>
        <v>3600000</v>
      </c>
      <c r="H6" s="19">
        <f t="shared" si="2"/>
        <v>146118.7214611872</v>
      </c>
      <c r="I6" s="19">
        <v>100000</v>
      </c>
      <c r="J6" s="19">
        <f t="shared" si="3"/>
        <v>4700000</v>
      </c>
      <c r="K6" s="19">
        <v>0</v>
      </c>
      <c r="L6" s="19">
        <f t="shared" si="4"/>
        <v>564</v>
      </c>
      <c r="M6" s="19">
        <f t="shared" si="5"/>
        <v>14975.387804009199</v>
      </c>
      <c r="N6" s="19">
        <f t="shared" si="6"/>
        <v>180000000</v>
      </c>
      <c r="O6" s="19">
        <f t="shared" si="16"/>
        <v>1200000</v>
      </c>
      <c r="P6" s="19">
        <f t="shared" si="17"/>
        <v>3000000</v>
      </c>
      <c r="Q6" s="19">
        <f t="shared" si="18"/>
        <v>4200000</v>
      </c>
      <c r="R6" s="19">
        <f t="shared" si="19"/>
        <v>3600000</v>
      </c>
      <c r="S6" s="19">
        <f t="shared" si="7"/>
        <v>103200000</v>
      </c>
      <c r="T6" s="19">
        <f t="shared" si="8"/>
        <v>23736000</v>
      </c>
      <c r="U6" s="19">
        <v>36000</v>
      </c>
      <c r="V6" s="19">
        <f t="shared" si="9"/>
        <v>8859.3333333333339</v>
      </c>
      <c r="W6" s="19">
        <f t="shared" si="10"/>
        <v>3575.2081706013796</v>
      </c>
      <c r="X6" s="19">
        <f t="shared" si="11"/>
        <v>27409.929307943908</v>
      </c>
      <c r="Y6" s="19">
        <f t="shared" si="12"/>
        <v>1288266.6774733637</v>
      </c>
      <c r="Z6" s="19">
        <v>1740000</v>
      </c>
      <c r="AA6" s="19">
        <f t="shared" si="13"/>
        <v>27409.929307943908</v>
      </c>
      <c r="AB6" s="19">
        <f t="shared" si="14"/>
        <v>-451733.3225266363</v>
      </c>
      <c r="AC6" s="19">
        <f t="shared" si="15"/>
        <v>-25.961685202680247</v>
      </c>
    </row>
    <row r="7" spans="1:30" s="19" customFormat="1" ht="19.8">
      <c r="A7" s="19">
        <v>5</v>
      </c>
      <c r="B7" s="20" t="s">
        <v>22</v>
      </c>
      <c r="C7" s="19" t="s">
        <v>19</v>
      </c>
      <c r="D7" s="19">
        <v>50</v>
      </c>
      <c r="E7" s="19">
        <v>150</v>
      </c>
      <c r="F7" s="19">
        <f t="shared" si="0"/>
        <v>200</v>
      </c>
      <c r="G7" s="19">
        <f t="shared" si="1"/>
        <v>3600000</v>
      </c>
      <c r="H7" s="19">
        <f t="shared" si="2"/>
        <v>684931.50684931502</v>
      </c>
      <c r="I7" s="19">
        <v>100000</v>
      </c>
      <c r="J7" s="19">
        <f t="shared" si="3"/>
        <v>20000000</v>
      </c>
      <c r="K7" s="19">
        <v>0</v>
      </c>
      <c r="L7" s="19">
        <f t="shared" si="4"/>
        <v>2400</v>
      </c>
      <c r="M7" s="19">
        <f t="shared" si="5"/>
        <v>10118.721461187215</v>
      </c>
      <c r="N7" s="19">
        <f t="shared" si="6"/>
        <v>180000000</v>
      </c>
      <c r="O7" s="19">
        <f t="shared" si="16"/>
        <v>1200000</v>
      </c>
      <c r="P7" s="19">
        <f t="shared" si="17"/>
        <v>3000000</v>
      </c>
      <c r="Q7" s="19">
        <f t="shared" si="18"/>
        <v>4200000</v>
      </c>
      <c r="R7" s="19">
        <f t="shared" si="19"/>
        <v>3600000</v>
      </c>
      <c r="S7" s="19">
        <f t="shared" si="7"/>
        <v>103200000</v>
      </c>
      <c r="T7" s="19">
        <f t="shared" si="8"/>
        <v>23736000</v>
      </c>
      <c r="U7" s="19">
        <v>36000</v>
      </c>
      <c r="V7" s="19">
        <f t="shared" si="9"/>
        <v>8859.3333333333339</v>
      </c>
      <c r="W7" s="19">
        <f t="shared" si="10"/>
        <v>2846.7082191780819</v>
      </c>
      <c r="X7" s="19">
        <f t="shared" si="11"/>
        <v>21824.76301369863</v>
      </c>
      <c r="Y7" s="19">
        <f t="shared" si="12"/>
        <v>4364952.6027397262</v>
      </c>
      <c r="Z7" s="19">
        <v>3310000</v>
      </c>
      <c r="AA7" s="19">
        <f t="shared" si="13"/>
        <v>21824.76301369863</v>
      </c>
      <c r="AB7" s="19">
        <f t="shared" si="14"/>
        <v>1054952.6027397262</v>
      </c>
      <c r="AC7" s="19">
        <f t="shared" si="15"/>
        <v>31.871679841079342</v>
      </c>
    </row>
    <row r="8" spans="1:30" s="19" customFormat="1" ht="19.8">
      <c r="A8" s="19">
        <v>6</v>
      </c>
      <c r="B8" s="20" t="s">
        <v>33</v>
      </c>
      <c r="C8" s="19" t="s">
        <v>17</v>
      </c>
      <c r="D8" s="19">
        <v>83.5</v>
      </c>
      <c r="E8" s="19">
        <v>201.5</v>
      </c>
      <c r="F8" s="19">
        <f t="shared" si="0"/>
        <v>285</v>
      </c>
      <c r="G8" s="19">
        <f t="shared" si="1"/>
        <v>3600000</v>
      </c>
      <c r="H8" s="19">
        <f t="shared" si="2"/>
        <v>920091.32420091319</v>
      </c>
      <c r="I8" s="19">
        <v>100000</v>
      </c>
      <c r="J8" s="19">
        <f t="shared" si="3"/>
        <v>28500000</v>
      </c>
      <c r="K8" s="19">
        <v>0</v>
      </c>
      <c r="L8" s="19">
        <f t="shared" si="4"/>
        <v>3420</v>
      </c>
      <c r="M8" s="19">
        <f t="shared" si="5"/>
        <v>9654.9974632166413</v>
      </c>
      <c r="N8" s="19">
        <f t="shared" si="6"/>
        <v>180000000</v>
      </c>
      <c r="O8" s="19">
        <f t="shared" si="16"/>
        <v>1200000</v>
      </c>
      <c r="P8" s="19">
        <f t="shared" si="17"/>
        <v>3000000</v>
      </c>
      <c r="Q8" s="19">
        <f t="shared" si="18"/>
        <v>4200000</v>
      </c>
      <c r="R8" s="19">
        <f t="shared" si="19"/>
        <v>3600000</v>
      </c>
      <c r="S8" s="19">
        <f t="shared" si="7"/>
        <v>103200000</v>
      </c>
      <c r="T8" s="19">
        <f t="shared" si="8"/>
        <v>23736000</v>
      </c>
      <c r="U8" s="19">
        <v>36000</v>
      </c>
      <c r="V8" s="19">
        <f t="shared" si="9"/>
        <v>8859.3333333333339</v>
      </c>
      <c r="W8" s="19">
        <f t="shared" si="10"/>
        <v>2777.1496194824963</v>
      </c>
      <c r="X8" s="19">
        <f t="shared" si="11"/>
        <v>21291.480416032475</v>
      </c>
      <c r="Y8" s="19">
        <f t="shared" si="12"/>
        <v>6068071.9185692556</v>
      </c>
      <c r="Z8" s="19">
        <v>4040000</v>
      </c>
      <c r="AA8" s="19">
        <f t="shared" si="13"/>
        <v>21291.480416032475</v>
      </c>
      <c r="AB8" s="19">
        <f t="shared" si="14"/>
        <v>2028071.9185692556</v>
      </c>
      <c r="AC8" s="19">
        <f t="shared" si="15"/>
        <v>50.19979996458553</v>
      </c>
    </row>
    <row r="9" spans="1:30" s="19" customFormat="1" ht="19.8">
      <c r="A9" s="19">
        <v>7</v>
      </c>
      <c r="B9" s="20" t="s">
        <v>34</v>
      </c>
      <c r="C9" s="19" t="s">
        <v>18</v>
      </c>
      <c r="D9" s="19">
        <v>57.5</v>
      </c>
      <c r="E9" s="19">
        <v>157.5</v>
      </c>
      <c r="F9" s="19">
        <f t="shared" si="0"/>
        <v>215</v>
      </c>
      <c r="G9" s="19">
        <f t="shared" si="1"/>
        <v>3600000</v>
      </c>
      <c r="H9" s="19">
        <f t="shared" si="2"/>
        <v>719178.08219178079</v>
      </c>
      <c r="I9" s="19">
        <v>100000</v>
      </c>
      <c r="J9" s="19">
        <f t="shared" si="3"/>
        <v>21500000</v>
      </c>
      <c r="K9" s="19">
        <v>0</v>
      </c>
      <c r="L9" s="19">
        <f t="shared" si="4"/>
        <v>2580</v>
      </c>
      <c r="M9" s="19">
        <f t="shared" si="5"/>
        <v>10007.433365190613</v>
      </c>
      <c r="N9" s="19">
        <f t="shared" si="6"/>
        <v>180000000</v>
      </c>
      <c r="O9" s="19">
        <f t="shared" si="16"/>
        <v>1200000</v>
      </c>
      <c r="P9" s="19">
        <f t="shared" si="17"/>
        <v>3000000</v>
      </c>
      <c r="Q9" s="19">
        <f t="shared" si="18"/>
        <v>4200000</v>
      </c>
      <c r="R9" s="19">
        <f t="shared" si="19"/>
        <v>3600000</v>
      </c>
      <c r="S9" s="19">
        <f t="shared" si="7"/>
        <v>103200000</v>
      </c>
      <c r="T9" s="19">
        <f t="shared" si="8"/>
        <v>23736000</v>
      </c>
      <c r="U9" s="19">
        <v>36000</v>
      </c>
      <c r="V9" s="19">
        <f t="shared" si="9"/>
        <v>8859.3333333333339</v>
      </c>
      <c r="W9" s="19">
        <f t="shared" si="10"/>
        <v>2830.0150047785924</v>
      </c>
      <c r="X9" s="19">
        <f t="shared" si="11"/>
        <v>21696.781703302542</v>
      </c>
      <c r="Y9" s="19">
        <f t="shared" si="12"/>
        <v>4664808.0662100464</v>
      </c>
      <c r="Z9" s="19">
        <v>3120000</v>
      </c>
      <c r="AA9" s="19">
        <f t="shared" si="13"/>
        <v>21696.781703302542</v>
      </c>
      <c r="AB9" s="19">
        <f t="shared" si="14"/>
        <v>1544808.0662100464</v>
      </c>
      <c r="AC9" s="19">
        <f t="shared" si="15"/>
        <v>49.513079045193798</v>
      </c>
    </row>
    <row r="10" spans="1:30" s="10" customFormat="1" ht="19.8">
      <c r="A10" s="8">
        <v>8</v>
      </c>
      <c r="B10" s="7" t="s">
        <v>65</v>
      </c>
      <c r="C10" s="23" t="s">
        <v>66</v>
      </c>
      <c r="D10" s="8">
        <v>136</v>
      </c>
      <c r="E10" s="8">
        <v>266</v>
      </c>
      <c r="F10" s="8">
        <f t="shared" ref="F10:F21" si="20">SUM(D10,E10)</f>
        <v>402</v>
      </c>
      <c r="G10" s="8">
        <f>(3/100*(50000000))</f>
        <v>1500000</v>
      </c>
      <c r="H10" s="8">
        <f t="shared" ref="H10" si="21">((200000000)/3)/(365*24)*F10</f>
        <v>3059360.7305936073</v>
      </c>
      <c r="I10" s="8">
        <v>80000</v>
      </c>
      <c r="J10" s="8">
        <f t="shared" si="3"/>
        <v>32160000</v>
      </c>
      <c r="K10" s="8">
        <v>0</v>
      </c>
      <c r="L10" s="8">
        <f t="shared" si="4"/>
        <v>4824</v>
      </c>
      <c r="M10" s="8">
        <f t="shared" ref="M10" si="22">SUM(E10:K10)/L10</f>
        <v>7628.5300021960211</v>
      </c>
      <c r="N10" s="8">
        <f t="shared" si="6"/>
        <v>180000000</v>
      </c>
      <c r="O10" s="19">
        <f t="shared" si="16"/>
        <v>1200000</v>
      </c>
      <c r="P10" s="19">
        <f>12*250000</f>
        <v>3000000</v>
      </c>
      <c r="Q10" s="19">
        <f t="shared" si="18"/>
        <v>4200000</v>
      </c>
      <c r="R10" s="19">
        <f t="shared" si="19"/>
        <v>3600000</v>
      </c>
      <c r="S10" s="8">
        <f t="shared" ref="S10:S11" si="23">12*6500000</f>
        <v>78000000</v>
      </c>
      <c r="T10" s="8">
        <f t="shared" si="8"/>
        <v>17940000</v>
      </c>
      <c r="U10" s="8">
        <v>36000</v>
      </c>
      <c r="V10" s="8">
        <f t="shared" ref="V10" si="24">SUM(N10:T10)/U10</f>
        <v>7998.333333333333</v>
      </c>
      <c r="W10" s="8">
        <f t="shared" ref="W10" si="25">15/100*(V10+M10)</f>
        <v>2344.0295003294027</v>
      </c>
      <c r="X10" s="8">
        <f t="shared" si="11"/>
        <v>17970.892835858755</v>
      </c>
      <c r="Y10" s="8">
        <f t="shared" ref="Y10" si="26">X10*F10</f>
        <v>7224298.9200152196</v>
      </c>
      <c r="Z10" s="8">
        <v>5130000</v>
      </c>
      <c r="AA10" s="8">
        <f t="shared" ref="AA10:AA11" si="27">Z10/F10</f>
        <v>12761.194029850747</v>
      </c>
      <c r="AB10" s="8">
        <f t="shared" si="14"/>
        <v>2094298.9200152196</v>
      </c>
      <c r="AC10" s="8">
        <f t="shared" si="15"/>
        <v>40.824540351173866</v>
      </c>
    </row>
    <row r="11" spans="1:30" s="28" customFormat="1" ht="24.6">
      <c r="A11" s="28">
        <v>9</v>
      </c>
      <c r="B11" s="29" t="s">
        <v>37</v>
      </c>
      <c r="C11" s="30" t="s">
        <v>36</v>
      </c>
      <c r="D11" s="30">
        <v>60</v>
      </c>
      <c r="E11" s="30">
        <v>70</v>
      </c>
      <c r="F11" s="30">
        <f t="shared" si="20"/>
        <v>130</v>
      </c>
      <c r="G11" s="28">
        <f t="shared" ref="G11" si="28">(3/100*(20000000))</f>
        <v>600000</v>
      </c>
      <c r="H11" s="28">
        <f t="shared" ref="H11" si="29">((6*15000000)/3)/(365*24)*E11</f>
        <v>239726.02739726027</v>
      </c>
      <c r="I11" s="28">
        <v>100000</v>
      </c>
      <c r="J11" s="28">
        <f t="shared" si="3"/>
        <v>13000000</v>
      </c>
      <c r="K11" s="28">
        <v>0</v>
      </c>
      <c r="L11" s="28">
        <f t="shared" si="4"/>
        <v>1560</v>
      </c>
      <c r="M11" s="28">
        <f t="shared" ref="M11" si="30">SUM(E11:K11)/L11</f>
        <v>8935.8500175623467</v>
      </c>
      <c r="N11" s="28">
        <f t="shared" si="6"/>
        <v>180000000</v>
      </c>
      <c r="O11" s="19">
        <f t="shared" si="16"/>
        <v>1200000</v>
      </c>
      <c r="P11" s="19">
        <f t="shared" si="17"/>
        <v>3000000</v>
      </c>
      <c r="Q11" s="19">
        <f t="shared" si="18"/>
        <v>4200000</v>
      </c>
      <c r="R11" s="19">
        <f t="shared" si="19"/>
        <v>3600000</v>
      </c>
      <c r="S11" s="28">
        <f t="shared" si="23"/>
        <v>78000000</v>
      </c>
      <c r="T11" s="28">
        <f t="shared" si="8"/>
        <v>17940000</v>
      </c>
      <c r="U11" s="28">
        <v>36000</v>
      </c>
      <c r="V11" s="28">
        <f t="shared" ref="V11" si="31">SUM(N11:T11)/U11</f>
        <v>7998.333333333333</v>
      </c>
      <c r="W11" s="28">
        <f t="shared" ref="W11:W22" si="32">15/100*SUM(M11,V11)</f>
        <v>2540.1275026343519</v>
      </c>
      <c r="X11" s="28">
        <f t="shared" si="11"/>
        <v>19474.310853530034</v>
      </c>
      <c r="Y11" s="28">
        <f t="shared" ref="Y11:Y22" si="33">F11*X11</f>
        <v>2531660.4109589043</v>
      </c>
      <c r="Z11" s="31">
        <v>1900000</v>
      </c>
      <c r="AA11" s="28">
        <f t="shared" si="27"/>
        <v>14615.384615384615</v>
      </c>
      <c r="AB11" s="28">
        <f t="shared" si="14"/>
        <v>631660.41095890431</v>
      </c>
      <c r="AC11" s="28">
        <f t="shared" si="15"/>
        <v>33.245284787310752</v>
      </c>
    </row>
    <row r="12" spans="1:30" s="38" customFormat="1" ht="24.6">
      <c r="A12" s="24">
        <v>10</v>
      </c>
      <c r="B12" s="25" t="s">
        <v>46</v>
      </c>
      <c r="C12" s="26" t="s">
        <v>45</v>
      </c>
      <c r="D12" s="24">
        <v>46</v>
      </c>
      <c r="E12" s="24">
        <v>134</v>
      </c>
      <c r="F12" s="24">
        <f t="shared" si="20"/>
        <v>180</v>
      </c>
      <c r="G12" s="24">
        <f t="shared" ref="G12:G13" si="34">(3/100*100000000)</f>
        <v>3000000</v>
      </c>
      <c r="H12" s="24">
        <f t="shared" ref="H12:H13" si="35">((100000000)/3)/(365*24)*E12</f>
        <v>509893.45509893453</v>
      </c>
      <c r="I12" s="24">
        <v>100000</v>
      </c>
      <c r="J12" s="24">
        <f t="shared" si="3"/>
        <v>18000000</v>
      </c>
      <c r="K12" s="24">
        <v>0</v>
      </c>
      <c r="L12" s="24">
        <f t="shared" si="4"/>
        <v>2160</v>
      </c>
      <c r="M12" s="24">
        <f t="shared" ref="M12:M13" si="36">SUM(E12:K12)/L12</f>
        <v>10004.725673656914</v>
      </c>
      <c r="N12" s="24">
        <f t="shared" ref="N12:N13" si="37">12*13000000</f>
        <v>156000000</v>
      </c>
      <c r="O12" s="19">
        <f t="shared" si="16"/>
        <v>1200000</v>
      </c>
      <c r="P12" s="24">
        <f>12*200000</f>
        <v>2400000</v>
      </c>
      <c r="Q12" s="19">
        <f>12*250000</f>
        <v>3000000</v>
      </c>
      <c r="R12" s="19">
        <f>12*200000</f>
        <v>2400000</v>
      </c>
      <c r="S12" s="24">
        <f>12*8600000</f>
        <v>103200000</v>
      </c>
      <c r="T12" s="24">
        <f t="shared" si="8"/>
        <v>23736000</v>
      </c>
      <c r="U12" s="24">
        <v>36000</v>
      </c>
      <c r="V12" s="24">
        <f t="shared" ref="V12:V13" si="38">SUM(N12,O12,P12,Q12,R12,S12,T12)/U12</f>
        <v>8109.333333333333</v>
      </c>
      <c r="W12" s="24">
        <f t="shared" si="32"/>
        <v>2717.108851048537</v>
      </c>
      <c r="X12" s="24">
        <f t="shared" si="11"/>
        <v>20831.167858038782</v>
      </c>
      <c r="Y12" s="24">
        <f t="shared" si="33"/>
        <v>3749610.2144469805</v>
      </c>
      <c r="Z12" s="27">
        <v>2350000</v>
      </c>
      <c r="AA12" s="24">
        <f t="shared" ref="AA12:AA13" si="39">Y12/F12</f>
        <v>20831.167858038782</v>
      </c>
      <c r="AB12" s="24">
        <f t="shared" si="14"/>
        <v>1399610.2144469805</v>
      </c>
      <c r="AC12" s="24">
        <f t="shared" si="15"/>
        <v>59.557881465828949</v>
      </c>
    </row>
    <row r="13" spans="1:30" s="38" customFormat="1" ht="24.6">
      <c r="A13" s="24">
        <v>11</v>
      </c>
      <c r="B13" s="25" t="s">
        <v>44</v>
      </c>
      <c r="C13" s="24" t="s">
        <v>43</v>
      </c>
      <c r="D13" s="24">
        <v>160</v>
      </c>
      <c r="E13" s="24">
        <v>300</v>
      </c>
      <c r="F13" s="24">
        <f t="shared" si="20"/>
        <v>460</v>
      </c>
      <c r="G13" s="24">
        <f t="shared" si="34"/>
        <v>3000000</v>
      </c>
      <c r="H13" s="24">
        <f t="shared" si="35"/>
        <v>1141552.5114155251</v>
      </c>
      <c r="I13" s="24">
        <v>100000</v>
      </c>
      <c r="J13" s="24">
        <f t="shared" si="3"/>
        <v>46000000</v>
      </c>
      <c r="K13" s="24">
        <v>0</v>
      </c>
      <c r="L13" s="24">
        <f t="shared" si="4"/>
        <v>5520</v>
      </c>
      <c r="M13" s="24">
        <f t="shared" si="36"/>
        <v>9101.868208589769</v>
      </c>
      <c r="N13" s="24">
        <f t="shared" si="37"/>
        <v>156000000</v>
      </c>
      <c r="O13" s="19">
        <f t="shared" si="16"/>
        <v>1200000</v>
      </c>
      <c r="P13" s="24">
        <f>12*200000</f>
        <v>2400000</v>
      </c>
      <c r="Q13" s="19">
        <f>12*250000</f>
        <v>3000000</v>
      </c>
      <c r="R13" s="19">
        <f>12*200000</f>
        <v>2400000</v>
      </c>
      <c r="S13" s="24">
        <f>12*8600000</f>
        <v>103200000</v>
      </c>
      <c r="T13" s="24">
        <f t="shared" si="8"/>
        <v>23736000</v>
      </c>
      <c r="U13" s="24">
        <v>36000</v>
      </c>
      <c r="V13" s="24">
        <f t="shared" si="38"/>
        <v>8109.333333333333</v>
      </c>
      <c r="W13" s="24">
        <f t="shared" si="32"/>
        <v>2581.6802312884652</v>
      </c>
      <c r="X13" s="24">
        <f t="shared" si="11"/>
        <v>19792.881773211568</v>
      </c>
      <c r="Y13" s="24">
        <f t="shared" si="33"/>
        <v>9104725.6156773213</v>
      </c>
      <c r="Z13" s="27">
        <v>6300000</v>
      </c>
      <c r="AA13" s="24">
        <f t="shared" si="39"/>
        <v>19792.881773211568</v>
      </c>
      <c r="AB13" s="24">
        <f t="shared" si="14"/>
        <v>2804725.6156773213</v>
      </c>
      <c r="AC13" s="24">
        <f t="shared" si="15"/>
        <v>44.519454217100339</v>
      </c>
    </row>
    <row r="14" spans="1:30" s="35" customFormat="1" ht="19.8">
      <c r="A14" s="32">
        <v>12</v>
      </c>
      <c r="B14" s="33" t="s">
        <v>62</v>
      </c>
      <c r="C14" s="34" t="s">
        <v>61</v>
      </c>
      <c r="D14" s="35">
        <v>74</v>
      </c>
      <c r="E14" s="35">
        <v>306</v>
      </c>
      <c r="F14" s="35">
        <f t="shared" si="20"/>
        <v>380</v>
      </c>
      <c r="G14" s="32">
        <f>3/100*(150000000)</f>
        <v>4500000</v>
      </c>
      <c r="H14" s="32">
        <f>(150000000/5)/(365*24)*F14</f>
        <v>1301369.8630136987</v>
      </c>
      <c r="I14" s="32">
        <v>120000</v>
      </c>
      <c r="J14" s="32">
        <f t="shared" si="3"/>
        <v>45600000</v>
      </c>
      <c r="K14" s="32">
        <v>0</v>
      </c>
      <c r="L14" s="32">
        <f>16*F14</f>
        <v>6080</v>
      </c>
      <c r="M14" s="32">
        <f t="shared" ref="M14:M21" si="40">SUM(K14,J14,H14,G14)/L14</f>
        <v>8454.1726748377787</v>
      </c>
      <c r="N14" s="32">
        <f>12*15000000</f>
        <v>180000000</v>
      </c>
      <c r="O14" s="32">
        <f>12*150000</f>
        <v>1800000</v>
      </c>
      <c r="P14" s="39">
        <f>12*250000</f>
        <v>3000000</v>
      </c>
      <c r="Q14" s="19">
        <f t="shared" si="18"/>
        <v>4200000</v>
      </c>
      <c r="R14" s="32">
        <f>12*200000</f>
        <v>2400000</v>
      </c>
      <c r="S14" s="32">
        <f>12*8600000</f>
        <v>103200000</v>
      </c>
      <c r="T14" s="32">
        <f t="shared" si="8"/>
        <v>23736000</v>
      </c>
      <c r="U14" s="32">
        <v>36000</v>
      </c>
      <c r="V14" s="32">
        <f t="shared" ref="V14:V21" si="41">SUM(N14:T14)/U14</f>
        <v>8842.6666666666661</v>
      </c>
      <c r="W14" s="32">
        <f t="shared" si="32"/>
        <v>2594.5259012256665</v>
      </c>
      <c r="X14" s="32">
        <f t="shared" si="11"/>
        <v>19891.365242730113</v>
      </c>
      <c r="Y14" s="32">
        <f t="shared" si="33"/>
        <v>7558718.7922374429</v>
      </c>
      <c r="Z14" s="36">
        <v>5290000</v>
      </c>
      <c r="AA14" s="32">
        <f t="shared" ref="AA14:AA21" si="42">Y14-Z14</f>
        <v>2268718.7922374429</v>
      </c>
      <c r="AB14" s="32">
        <f t="shared" si="14"/>
        <v>2268718.7922374429</v>
      </c>
      <c r="AC14" s="32">
        <f t="shared" si="15"/>
        <v>42.886933690688906</v>
      </c>
    </row>
    <row r="15" spans="1:30" s="35" customFormat="1" ht="19.8">
      <c r="A15" s="32">
        <v>13</v>
      </c>
      <c r="B15" s="33" t="s">
        <v>60</v>
      </c>
      <c r="C15" s="34" t="s">
        <v>59</v>
      </c>
      <c r="D15" s="35">
        <v>24</v>
      </c>
      <c r="E15" s="35">
        <v>36</v>
      </c>
      <c r="F15" s="35">
        <f t="shared" si="20"/>
        <v>60</v>
      </c>
      <c r="G15" s="32">
        <f t="shared" ref="G15:G21" si="43">3/100*(150000000)</f>
        <v>4500000</v>
      </c>
      <c r="H15" s="32">
        <f t="shared" ref="H15:H21" si="44">(150000000/5)/(365*24)*F15</f>
        <v>205479.45205479453</v>
      </c>
      <c r="I15" s="32">
        <v>120000</v>
      </c>
      <c r="J15" s="32">
        <f t="shared" si="3"/>
        <v>7200000</v>
      </c>
      <c r="K15" s="32">
        <v>0</v>
      </c>
      <c r="L15" s="32">
        <f t="shared" ref="L15:L21" si="45">16*F15</f>
        <v>960</v>
      </c>
      <c r="M15" s="32">
        <f t="shared" si="40"/>
        <v>12401.541095890412</v>
      </c>
      <c r="N15" s="32">
        <f t="shared" ref="N15:N21" si="46">12*15000000</f>
        <v>180000000</v>
      </c>
      <c r="O15" s="32">
        <f t="shared" ref="O15:O21" si="47">12*150000</f>
        <v>1800000</v>
      </c>
      <c r="P15" s="39">
        <f t="shared" ref="P15:P21" si="48">12*250000</f>
        <v>3000000</v>
      </c>
      <c r="Q15" s="19">
        <f t="shared" si="18"/>
        <v>4200000</v>
      </c>
      <c r="R15" s="32">
        <f t="shared" ref="R15:R22" si="49">12*200000</f>
        <v>2400000</v>
      </c>
      <c r="S15" s="32">
        <f t="shared" ref="S15:S22" si="50">12*8600000</f>
        <v>103200000</v>
      </c>
      <c r="T15" s="32">
        <f t="shared" si="8"/>
        <v>23736000</v>
      </c>
      <c r="U15" s="32">
        <v>36000</v>
      </c>
      <c r="V15" s="32">
        <f t="shared" si="41"/>
        <v>8842.6666666666661</v>
      </c>
      <c r="W15" s="32">
        <f t="shared" si="32"/>
        <v>3186.6311643835616</v>
      </c>
      <c r="X15" s="32">
        <f t="shared" si="11"/>
        <v>24430.83892694064</v>
      </c>
      <c r="Y15" s="32">
        <f t="shared" si="33"/>
        <v>1465850.3356164384</v>
      </c>
      <c r="Z15" s="36">
        <v>860000</v>
      </c>
      <c r="AA15" s="32">
        <f t="shared" si="42"/>
        <v>605850.33561643842</v>
      </c>
      <c r="AB15" s="32">
        <f t="shared" si="14"/>
        <v>605850.33561643842</v>
      </c>
      <c r="AC15" s="32">
        <f t="shared" si="15"/>
        <v>70.447713443771903</v>
      </c>
    </row>
    <row r="16" spans="1:30" s="35" customFormat="1" ht="19.8">
      <c r="A16" s="32">
        <v>14</v>
      </c>
      <c r="B16" s="33" t="s">
        <v>58</v>
      </c>
      <c r="C16" s="34" t="s">
        <v>57</v>
      </c>
      <c r="D16" s="35">
        <v>83</v>
      </c>
      <c r="E16" s="35">
        <v>240</v>
      </c>
      <c r="F16" s="35">
        <f t="shared" si="20"/>
        <v>323</v>
      </c>
      <c r="G16" s="32">
        <f t="shared" si="43"/>
        <v>4500000</v>
      </c>
      <c r="H16" s="32">
        <f t="shared" si="44"/>
        <v>1106164.3835616438</v>
      </c>
      <c r="I16" s="32">
        <v>120000</v>
      </c>
      <c r="J16" s="32">
        <f t="shared" si="3"/>
        <v>38760000</v>
      </c>
      <c r="K16" s="32">
        <v>0</v>
      </c>
      <c r="L16" s="32">
        <f t="shared" si="45"/>
        <v>5168</v>
      </c>
      <c r="M16" s="32">
        <f t="shared" si="40"/>
        <v>8584.7841299461379</v>
      </c>
      <c r="N16" s="32">
        <f t="shared" si="46"/>
        <v>180000000</v>
      </c>
      <c r="O16" s="32">
        <f t="shared" si="47"/>
        <v>1800000</v>
      </c>
      <c r="P16" s="39">
        <f t="shared" si="48"/>
        <v>3000000</v>
      </c>
      <c r="Q16" s="19">
        <f t="shared" si="18"/>
        <v>4200000</v>
      </c>
      <c r="R16" s="32">
        <f t="shared" si="49"/>
        <v>2400000</v>
      </c>
      <c r="S16" s="32">
        <f t="shared" si="50"/>
        <v>103200000</v>
      </c>
      <c r="T16" s="32">
        <f t="shared" si="8"/>
        <v>23736000</v>
      </c>
      <c r="U16" s="32">
        <v>36000</v>
      </c>
      <c r="V16" s="32">
        <f t="shared" si="41"/>
        <v>8842.6666666666661</v>
      </c>
      <c r="W16" s="32">
        <f t="shared" si="32"/>
        <v>2614.1176194919203</v>
      </c>
      <c r="X16" s="32">
        <f t="shared" si="11"/>
        <v>20041.568416104725</v>
      </c>
      <c r="Y16" s="32">
        <f t="shared" si="33"/>
        <v>6473426.5984018259</v>
      </c>
      <c r="Z16" s="36">
        <v>5170000</v>
      </c>
      <c r="AA16" s="32">
        <f t="shared" si="42"/>
        <v>1303426.5984018259</v>
      </c>
      <c r="AB16" s="32">
        <f t="shared" si="14"/>
        <v>1303426.5984018259</v>
      </c>
      <c r="AC16" s="32">
        <f t="shared" si="15"/>
        <v>25.211346197327387</v>
      </c>
    </row>
    <row r="17" spans="1:29" s="35" customFormat="1" ht="19.8">
      <c r="A17" s="32">
        <v>15</v>
      </c>
      <c r="B17" s="33" t="s">
        <v>56</v>
      </c>
      <c r="C17" s="34" t="s">
        <v>55</v>
      </c>
      <c r="D17" s="35">
        <v>28</v>
      </c>
      <c r="E17" s="35">
        <v>100</v>
      </c>
      <c r="F17" s="35">
        <f t="shared" si="20"/>
        <v>128</v>
      </c>
      <c r="G17" s="32">
        <f t="shared" si="43"/>
        <v>4500000</v>
      </c>
      <c r="H17" s="32">
        <f t="shared" si="44"/>
        <v>438356.16438356164</v>
      </c>
      <c r="I17" s="32">
        <v>120000</v>
      </c>
      <c r="J17" s="32">
        <f t="shared" si="3"/>
        <v>15360000</v>
      </c>
      <c r="K17" s="32">
        <v>0</v>
      </c>
      <c r="L17" s="32">
        <f t="shared" si="45"/>
        <v>2048</v>
      </c>
      <c r="M17" s="32">
        <f t="shared" si="40"/>
        <v>9911.3067208904104</v>
      </c>
      <c r="N17" s="32">
        <f t="shared" si="46"/>
        <v>180000000</v>
      </c>
      <c r="O17" s="32">
        <f t="shared" si="47"/>
        <v>1800000</v>
      </c>
      <c r="P17" s="39">
        <f t="shared" si="48"/>
        <v>3000000</v>
      </c>
      <c r="Q17" s="19">
        <f t="shared" si="18"/>
        <v>4200000</v>
      </c>
      <c r="R17" s="32">
        <f t="shared" si="49"/>
        <v>2400000</v>
      </c>
      <c r="S17" s="32">
        <f t="shared" si="50"/>
        <v>103200000</v>
      </c>
      <c r="T17" s="32">
        <f t="shared" si="8"/>
        <v>23736000</v>
      </c>
      <c r="U17" s="32">
        <v>36000</v>
      </c>
      <c r="V17" s="32">
        <f t="shared" si="41"/>
        <v>8842.6666666666661</v>
      </c>
      <c r="W17" s="32">
        <f t="shared" si="32"/>
        <v>2813.0960081335611</v>
      </c>
      <c r="X17" s="32">
        <f t="shared" si="11"/>
        <v>21567.069395690636</v>
      </c>
      <c r="Y17" s="32">
        <f t="shared" si="33"/>
        <v>2760584.8826484014</v>
      </c>
      <c r="Z17" s="36">
        <v>1540000</v>
      </c>
      <c r="AA17" s="32">
        <f t="shared" si="42"/>
        <v>1220584.8826484014</v>
      </c>
      <c r="AB17" s="32">
        <f t="shared" si="14"/>
        <v>1220584.8826484014</v>
      </c>
      <c r="AC17" s="32">
        <f t="shared" si="15"/>
        <v>79.258758613532564</v>
      </c>
    </row>
    <row r="18" spans="1:29" s="35" customFormat="1" ht="19.8">
      <c r="A18" s="32">
        <v>16</v>
      </c>
      <c r="B18" s="33" t="s">
        <v>54</v>
      </c>
      <c r="C18" s="37" t="s">
        <v>53</v>
      </c>
      <c r="D18" s="35">
        <v>61</v>
      </c>
      <c r="E18" s="35">
        <v>123</v>
      </c>
      <c r="F18" s="35">
        <f t="shared" si="20"/>
        <v>184</v>
      </c>
      <c r="G18" s="32">
        <f t="shared" si="43"/>
        <v>4500000</v>
      </c>
      <c r="H18" s="32">
        <f t="shared" si="44"/>
        <v>630136.98630136985</v>
      </c>
      <c r="I18" s="32">
        <v>100000</v>
      </c>
      <c r="J18" s="32">
        <f t="shared" si="3"/>
        <v>18400000</v>
      </c>
      <c r="K18" s="32">
        <v>0</v>
      </c>
      <c r="L18" s="32">
        <f t="shared" si="45"/>
        <v>2944</v>
      </c>
      <c r="M18" s="32">
        <f t="shared" si="40"/>
        <v>7992.5737045860633</v>
      </c>
      <c r="N18" s="32">
        <f t="shared" si="46"/>
        <v>180000000</v>
      </c>
      <c r="O18" s="32">
        <f t="shared" si="47"/>
        <v>1800000</v>
      </c>
      <c r="P18" s="39">
        <f t="shared" si="48"/>
        <v>3000000</v>
      </c>
      <c r="Q18" s="19">
        <f t="shared" si="18"/>
        <v>4200000</v>
      </c>
      <c r="R18" s="32">
        <f t="shared" si="49"/>
        <v>2400000</v>
      </c>
      <c r="S18" s="32">
        <f t="shared" si="50"/>
        <v>103200000</v>
      </c>
      <c r="T18" s="32">
        <f t="shared" si="8"/>
        <v>23736000</v>
      </c>
      <c r="U18" s="32">
        <v>36000</v>
      </c>
      <c r="V18" s="32">
        <f t="shared" si="41"/>
        <v>8842.6666666666661</v>
      </c>
      <c r="W18" s="32">
        <f t="shared" si="32"/>
        <v>2525.2860556879095</v>
      </c>
      <c r="X18" s="32">
        <f t="shared" si="11"/>
        <v>19360.52642694064</v>
      </c>
      <c r="Y18" s="32">
        <f t="shared" si="33"/>
        <v>3562336.8625570778</v>
      </c>
      <c r="Z18" s="36">
        <v>2970000</v>
      </c>
      <c r="AA18" s="32">
        <f t="shared" si="42"/>
        <v>592336.86255707778</v>
      </c>
      <c r="AB18" s="32">
        <f t="shared" si="14"/>
        <v>592336.86255707778</v>
      </c>
      <c r="AC18" s="32">
        <f t="shared" si="15"/>
        <v>19.944002106298914</v>
      </c>
    </row>
    <row r="19" spans="1:29" s="35" customFormat="1" ht="19.8">
      <c r="A19" s="32">
        <v>17</v>
      </c>
      <c r="B19" s="33" t="s">
        <v>52</v>
      </c>
      <c r="C19" s="34" t="s">
        <v>51</v>
      </c>
      <c r="D19" s="35">
        <v>42</v>
      </c>
      <c r="E19" s="35">
        <v>156</v>
      </c>
      <c r="F19" s="35">
        <f t="shared" si="20"/>
        <v>198</v>
      </c>
      <c r="G19" s="32">
        <f t="shared" si="43"/>
        <v>4500000</v>
      </c>
      <c r="H19" s="32">
        <f t="shared" si="44"/>
        <v>678082.19178082189</v>
      </c>
      <c r="I19" s="32">
        <v>120000</v>
      </c>
      <c r="J19" s="32">
        <f t="shared" si="3"/>
        <v>23760000</v>
      </c>
      <c r="K19" s="32">
        <v>0</v>
      </c>
      <c r="L19" s="32">
        <f t="shared" si="45"/>
        <v>3168</v>
      </c>
      <c r="M19" s="32">
        <f t="shared" si="40"/>
        <v>9134.4956413449563</v>
      </c>
      <c r="N19" s="32">
        <f t="shared" si="46"/>
        <v>180000000</v>
      </c>
      <c r="O19" s="32">
        <f t="shared" si="47"/>
        <v>1800000</v>
      </c>
      <c r="P19" s="39">
        <f t="shared" si="48"/>
        <v>3000000</v>
      </c>
      <c r="Q19" s="19">
        <f t="shared" si="18"/>
        <v>4200000</v>
      </c>
      <c r="R19" s="32">
        <f t="shared" si="49"/>
        <v>2400000</v>
      </c>
      <c r="S19" s="32">
        <f t="shared" si="50"/>
        <v>103200000</v>
      </c>
      <c r="T19" s="32">
        <f t="shared" si="8"/>
        <v>23736000</v>
      </c>
      <c r="U19" s="32">
        <v>36000</v>
      </c>
      <c r="V19" s="32">
        <f t="shared" si="41"/>
        <v>8842.6666666666661</v>
      </c>
      <c r="W19" s="32">
        <f t="shared" si="32"/>
        <v>2696.5743462017431</v>
      </c>
      <c r="X19" s="32">
        <f t="shared" si="11"/>
        <v>20673.736654213364</v>
      </c>
      <c r="Y19" s="32">
        <f t="shared" si="33"/>
        <v>4093399.8575342461</v>
      </c>
      <c r="Z19" s="36">
        <v>3560000</v>
      </c>
      <c r="AA19" s="32">
        <f t="shared" si="42"/>
        <v>533399.85753424605</v>
      </c>
      <c r="AB19" s="32">
        <f t="shared" si="14"/>
        <v>533399.85753424605</v>
      </c>
      <c r="AC19" s="32">
        <f t="shared" si="15"/>
        <v>14.98314206556871</v>
      </c>
    </row>
    <row r="20" spans="1:29" s="35" customFormat="1" ht="19.8">
      <c r="A20" s="32">
        <v>18</v>
      </c>
      <c r="B20" s="33" t="s">
        <v>50</v>
      </c>
      <c r="C20" s="34" t="s">
        <v>49</v>
      </c>
      <c r="D20" s="35">
        <v>81</v>
      </c>
      <c r="E20" s="35">
        <v>332</v>
      </c>
      <c r="F20" s="35">
        <f t="shared" si="20"/>
        <v>413</v>
      </c>
      <c r="G20" s="32">
        <f t="shared" si="43"/>
        <v>4500000</v>
      </c>
      <c r="H20" s="32">
        <f t="shared" si="44"/>
        <v>1414383.5616438356</v>
      </c>
      <c r="I20" s="32">
        <v>120000</v>
      </c>
      <c r="J20" s="32">
        <f t="shared" si="3"/>
        <v>49560000</v>
      </c>
      <c r="K20" s="32">
        <v>0</v>
      </c>
      <c r="L20" s="32">
        <f t="shared" si="45"/>
        <v>6608</v>
      </c>
      <c r="M20" s="32">
        <f t="shared" si="40"/>
        <v>8395.033831967894</v>
      </c>
      <c r="N20" s="32">
        <f t="shared" si="46"/>
        <v>180000000</v>
      </c>
      <c r="O20" s="32">
        <f t="shared" si="47"/>
        <v>1800000</v>
      </c>
      <c r="P20" s="39">
        <f t="shared" si="48"/>
        <v>3000000</v>
      </c>
      <c r="Q20" s="19">
        <f t="shared" si="18"/>
        <v>4200000</v>
      </c>
      <c r="R20" s="32">
        <f t="shared" si="49"/>
        <v>2400000</v>
      </c>
      <c r="S20" s="32">
        <f t="shared" si="50"/>
        <v>103200000</v>
      </c>
      <c r="T20" s="32">
        <f t="shared" si="8"/>
        <v>23736000</v>
      </c>
      <c r="U20" s="32">
        <v>36000</v>
      </c>
      <c r="V20" s="32">
        <f t="shared" si="41"/>
        <v>8842.6666666666661</v>
      </c>
      <c r="W20" s="32">
        <f t="shared" si="32"/>
        <v>2585.6550747951837</v>
      </c>
      <c r="X20" s="32">
        <f t="shared" si="11"/>
        <v>19823.355573429744</v>
      </c>
      <c r="Y20" s="32">
        <f t="shared" si="33"/>
        <v>8187045.8518264843</v>
      </c>
      <c r="Z20" s="36">
        <v>5290000</v>
      </c>
      <c r="AA20" s="32">
        <f t="shared" si="42"/>
        <v>2897045.8518264843</v>
      </c>
      <c r="AB20" s="32">
        <f t="shared" si="14"/>
        <v>2897045.8518264843</v>
      </c>
      <c r="AC20" s="32">
        <f t="shared" si="15"/>
        <v>54.764571868175501</v>
      </c>
    </row>
    <row r="21" spans="1:29" s="35" customFormat="1" ht="19.8">
      <c r="A21" s="32">
        <v>19</v>
      </c>
      <c r="B21" s="33" t="s">
        <v>48</v>
      </c>
      <c r="C21" s="34" t="s">
        <v>47</v>
      </c>
      <c r="D21" s="35">
        <v>56</v>
      </c>
      <c r="E21" s="35">
        <v>234</v>
      </c>
      <c r="F21" s="35">
        <f t="shared" si="20"/>
        <v>290</v>
      </c>
      <c r="G21" s="32">
        <f t="shared" si="43"/>
        <v>4500000</v>
      </c>
      <c r="H21" s="32">
        <f t="shared" si="44"/>
        <v>993150.68493150687</v>
      </c>
      <c r="I21" s="32">
        <v>120000</v>
      </c>
      <c r="J21" s="32">
        <f t="shared" si="3"/>
        <v>34800000</v>
      </c>
      <c r="K21" s="32">
        <v>0</v>
      </c>
      <c r="L21" s="32">
        <f t="shared" si="45"/>
        <v>4640</v>
      </c>
      <c r="M21" s="32">
        <f t="shared" si="40"/>
        <v>8683.8686820973089</v>
      </c>
      <c r="N21" s="32">
        <f t="shared" si="46"/>
        <v>180000000</v>
      </c>
      <c r="O21" s="32">
        <f t="shared" si="47"/>
        <v>1800000</v>
      </c>
      <c r="P21" s="39">
        <f t="shared" si="48"/>
        <v>3000000</v>
      </c>
      <c r="Q21" s="19">
        <f t="shared" si="18"/>
        <v>4200000</v>
      </c>
      <c r="R21" s="32">
        <f t="shared" si="49"/>
        <v>2400000</v>
      </c>
      <c r="S21" s="32">
        <f t="shared" si="50"/>
        <v>103200000</v>
      </c>
      <c r="T21" s="32">
        <f t="shared" si="8"/>
        <v>23736000</v>
      </c>
      <c r="U21" s="32">
        <v>36000</v>
      </c>
      <c r="V21" s="32">
        <f t="shared" si="41"/>
        <v>8842.6666666666661</v>
      </c>
      <c r="W21" s="32">
        <f t="shared" si="32"/>
        <v>2628.980302314596</v>
      </c>
      <c r="X21" s="32">
        <f t="shared" si="11"/>
        <v>20155.515651078567</v>
      </c>
      <c r="Y21" s="32">
        <f t="shared" si="33"/>
        <v>5845099.5388127845</v>
      </c>
      <c r="Z21" s="36">
        <v>4730000</v>
      </c>
      <c r="AA21" s="32">
        <f t="shared" si="42"/>
        <v>1115099.5388127845</v>
      </c>
      <c r="AB21" s="32">
        <f t="shared" si="14"/>
        <v>1115099.5388127845</v>
      </c>
      <c r="AC21" s="32">
        <f t="shared" si="15"/>
        <v>23.575043103864367</v>
      </c>
    </row>
    <row r="22" spans="1:29" s="15" customFormat="1" ht="19.8">
      <c r="A22" s="11">
        <v>20</v>
      </c>
      <c r="B22" s="14" t="s">
        <v>64</v>
      </c>
      <c r="C22" s="15" t="s">
        <v>63</v>
      </c>
      <c r="D22" s="11">
        <v>24</v>
      </c>
      <c r="E22" s="11">
        <v>426</v>
      </c>
      <c r="F22" s="11">
        <f t="shared" ref="F22" si="51">D22+E22</f>
        <v>450</v>
      </c>
      <c r="G22" s="11">
        <f t="shared" ref="G22" si="52">(3/100*150000000)</f>
        <v>4500000</v>
      </c>
      <c r="H22" s="11">
        <f t="shared" ref="H22" si="53">((150000000)/3)/(365*24)*F22</f>
        <v>2568493.1506849313</v>
      </c>
      <c r="I22" s="11">
        <v>80000</v>
      </c>
      <c r="J22" s="11">
        <f t="shared" si="3"/>
        <v>36000000</v>
      </c>
      <c r="K22" s="11">
        <v>0</v>
      </c>
      <c r="L22" s="11">
        <f t="shared" ref="L22" si="54">12*F22</f>
        <v>5400</v>
      </c>
      <c r="M22" s="11">
        <f t="shared" ref="M22" si="55">SUM(E22:K22)/L22</f>
        <v>7990.6239167935055</v>
      </c>
      <c r="N22" s="11">
        <f t="shared" ref="N22" si="56">12*14000000</f>
        <v>168000000</v>
      </c>
      <c r="O22" s="11">
        <f>12*100000</f>
        <v>1200000</v>
      </c>
      <c r="P22" s="11">
        <f>12*200000</f>
        <v>2400000</v>
      </c>
      <c r="Q22" s="11">
        <f>12*250000</f>
        <v>3000000</v>
      </c>
      <c r="R22" s="32">
        <f t="shared" si="49"/>
        <v>2400000</v>
      </c>
      <c r="S22" s="11">
        <f t="shared" si="50"/>
        <v>103200000</v>
      </c>
      <c r="T22" s="11">
        <f t="shared" si="8"/>
        <v>23736000</v>
      </c>
      <c r="U22" s="11">
        <v>36000</v>
      </c>
      <c r="V22" s="11">
        <f t="shared" ref="V22" si="57">SUM(N22:T22)/U22</f>
        <v>8442.6666666666661</v>
      </c>
      <c r="W22" s="11">
        <f t="shared" si="32"/>
        <v>2464.9935875190254</v>
      </c>
      <c r="X22" s="11">
        <f t="shared" si="11"/>
        <v>18898.284170979194</v>
      </c>
      <c r="Y22" s="11">
        <f t="shared" si="33"/>
        <v>8504227.8769406378</v>
      </c>
      <c r="Z22" s="13">
        <v>5530000</v>
      </c>
      <c r="AA22" s="11">
        <f t="shared" ref="AA22" si="58">Y22/F22</f>
        <v>18898.284170979194</v>
      </c>
      <c r="AB22" s="11">
        <f t="shared" si="14"/>
        <v>2974227.8769406378</v>
      </c>
      <c r="AC22" s="11">
        <f t="shared" si="15"/>
        <v>53.783505912127268</v>
      </c>
    </row>
  </sheetData>
  <mergeCells count="14">
    <mergeCell ref="AC1:AC2"/>
    <mergeCell ref="AD1:AD2"/>
    <mergeCell ref="W1:W2"/>
    <mergeCell ref="X1:X2"/>
    <mergeCell ref="Y1:Y2"/>
    <mergeCell ref="Z1:Z2"/>
    <mergeCell ref="AA1:AA2"/>
    <mergeCell ref="AB1:AB2"/>
    <mergeCell ref="N1:U1"/>
    <mergeCell ref="A1:A2"/>
    <mergeCell ref="B1:B2"/>
    <mergeCell ref="C1:C2"/>
    <mergeCell ref="D1:F1"/>
    <mergeCell ref="G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محاسبه یک نفرساعت شهریه </vt:lpstr>
      <vt:lpstr>حرف هاي پرتراكم</vt:lpstr>
      <vt:lpstr>sheet1</vt:lpstr>
      <vt:lpstr>چک نویس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azad</cp:lastModifiedBy>
  <cp:lastPrinted>2020-01-08T23:16:42Z</cp:lastPrinted>
  <dcterms:created xsi:type="dcterms:W3CDTF">2011-05-01T11:29:05Z</dcterms:created>
  <dcterms:modified xsi:type="dcterms:W3CDTF">2023-04-19T04:50:51Z</dcterms:modified>
</cp:coreProperties>
</file>